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Orçamento Sintético" sheetId="1" r:id="rId1"/>
    <sheet name="Plan1" sheetId="2" r:id="rId2"/>
  </sheets>
  <externalReferences>
    <externalReference r:id="rId3"/>
  </externalReferences>
  <definedNames>
    <definedName name="_xlnm._FilterDatabase" localSheetId="0" hidden="1">'Orçamento Sintético'!$A$4:$I$180</definedName>
    <definedName name="_xlnm.Print_Area" localSheetId="1">Plan1!$E$19:$F$23</definedName>
    <definedName name="_xlnm.Print_Titles" localSheetId="0">'[1]repeated header'!$4:$4</definedName>
  </definedNames>
  <calcPr calcId="124519"/>
</workbook>
</file>

<file path=xl/calcChain.xml><?xml version="1.0" encoding="utf-8"?>
<calcChain xmlns="http://schemas.openxmlformats.org/spreadsheetml/2006/main">
  <c r="G196" i="1"/>
  <c r="F23" i="2"/>
  <c r="H136" i="1"/>
  <c r="I136" s="1"/>
  <c r="H137"/>
  <c r="I137" s="1"/>
  <c r="H68"/>
  <c r="I68" s="1"/>
  <c r="H11"/>
  <c r="I11" s="1"/>
  <c r="H7"/>
  <c r="I7" s="1"/>
  <c r="H8"/>
  <c r="I8" s="1"/>
  <c r="H9"/>
  <c r="I9" s="1"/>
  <c r="H25"/>
  <c r="I25" s="1"/>
  <c r="H26"/>
  <c r="I26" s="1"/>
  <c r="H27"/>
  <c r="I27" s="1"/>
  <c r="H31"/>
  <c r="I31" s="1"/>
  <c r="H41"/>
  <c r="I41" s="1"/>
  <c r="H43"/>
  <c r="I43" s="1"/>
  <c r="H44"/>
  <c r="I44" s="1"/>
  <c r="H32"/>
  <c r="I32" s="1"/>
  <c r="H33"/>
  <c r="I33" s="1"/>
  <c r="H34"/>
  <c r="I34" s="1"/>
  <c r="H35"/>
  <c r="I35" s="1"/>
  <c r="H36"/>
  <c r="I36" s="1"/>
  <c r="H37"/>
  <c r="I37" s="1"/>
  <c r="H39"/>
  <c r="I39" s="1"/>
  <c r="H46"/>
  <c r="I46" s="1"/>
  <c r="H55"/>
  <c r="I55" s="1"/>
  <c r="H56"/>
  <c r="I56" s="1"/>
  <c r="H57"/>
  <c r="I57" s="1"/>
  <c r="H58"/>
  <c r="I58" s="1"/>
  <c r="H59"/>
  <c r="I59" s="1"/>
  <c r="H60"/>
  <c r="I60" s="1"/>
  <c r="H47"/>
  <c r="I47" s="1"/>
  <c r="H66"/>
  <c r="I66" s="1"/>
  <c r="H67"/>
  <c r="I67" s="1"/>
  <c r="H48"/>
  <c r="I48" s="1"/>
  <c r="H49"/>
  <c r="I49" s="1"/>
  <c r="H50"/>
  <c r="I50" s="1"/>
  <c r="H51"/>
  <c r="I51" s="1"/>
  <c r="H52"/>
  <c r="I52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96"/>
  <c r="I96" s="1"/>
  <c r="H97"/>
  <c r="I97" s="1"/>
  <c r="H98"/>
  <c r="I98" s="1"/>
  <c r="H99"/>
  <c r="I99" s="1"/>
  <c r="H100"/>
  <c r="I100" s="1"/>
  <c r="H101"/>
  <c r="I101" s="1"/>
  <c r="H102"/>
  <c r="I102" s="1"/>
  <c r="H103"/>
  <c r="I103" s="1"/>
  <c r="H104"/>
  <c r="I104" s="1"/>
  <c r="H105"/>
  <c r="I105" s="1"/>
  <c r="H106"/>
  <c r="I106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117"/>
  <c r="I117" s="1"/>
  <c r="H118"/>
  <c r="I118" s="1"/>
  <c r="H119"/>
  <c r="I119" s="1"/>
  <c r="H120"/>
  <c r="I120" s="1"/>
  <c r="H121"/>
  <c r="I121" s="1"/>
  <c r="H122"/>
  <c r="I122" s="1"/>
  <c r="H123"/>
  <c r="I123" s="1"/>
  <c r="H128"/>
  <c r="I128" s="1"/>
  <c r="H139"/>
  <c r="I139" s="1"/>
  <c r="H143"/>
  <c r="I143" s="1"/>
  <c r="H144"/>
  <c r="I144" s="1"/>
  <c r="H170"/>
  <c r="I170" s="1"/>
  <c r="H145"/>
  <c r="I145" s="1"/>
  <c r="H147"/>
  <c r="I147" s="1"/>
  <c r="H148"/>
  <c r="I148" s="1"/>
  <c r="H175"/>
  <c r="I175" s="1"/>
  <c r="H177"/>
  <c r="I177" s="1"/>
  <c r="H178"/>
  <c r="I178" s="1"/>
  <c r="H180"/>
  <c r="I180" s="1"/>
  <c r="H126"/>
  <c r="I126" s="1"/>
  <c r="H135"/>
  <c r="I135" s="1"/>
  <c r="H127"/>
  <c r="I127" s="1"/>
  <c r="H164"/>
  <c r="I164" s="1"/>
  <c r="H174"/>
  <c r="I174" s="1"/>
  <c r="H53"/>
  <c r="I53" s="1"/>
  <c r="G16" l="1"/>
  <c r="H16" s="1"/>
  <c r="I16" s="1"/>
  <c r="G179" l="1"/>
  <c r="H179" s="1"/>
  <c r="I179" s="1"/>
  <c r="G176"/>
  <c r="H176" s="1"/>
  <c r="I176" s="1"/>
  <c r="G151"/>
  <c r="H151" s="1"/>
  <c r="I151" s="1"/>
  <c r="G150"/>
  <c r="H150" s="1"/>
  <c r="I150" s="1"/>
  <c r="G149"/>
  <c r="H149" s="1"/>
  <c r="I149" s="1"/>
  <c r="G146"/>
  <c r="H146" s="1"/>
  <c r="I146" s="1"/>
  <c r="G172"/>
  <c r="H172" s="1"/>
  <c r="I172" s="1"/>
  <c r="G171"/>
  <c r="H171" s="1"/>
  <c r="I171" s="1"/>
  <c r="G169"/>
  <c r="H169" s="1"/>
  <c r="I169" s="1"/>
  <c r="G168"/>
  <c r="H168" s="1"/>
  <c r="I168" s="1"/>
  <c r="G167"/>
  <c r="H167" s="1"/>
  <c r="I167" s="1"/>
  <c r="G166"/>
  <c r="H166" s="1"/>
  <c r="I166" s="1"/>
  <c r="G165"/>
  <c r="H165" s="1"/>
  <c r="I165" s="1"/>
  <c r="G163"/>
  <c r="H163" s="1"/>
  <c r="I163" s="1"/>
  <c r="G162"/>
  <c r="H162" s="1"/>
  <c r="I162" s="1"/>
  <c r="G161"/>
  <c r="H161" s="1"/>
  <c r="I161" s="1"/>
  <c r="G160"/>
  <c r="H160" s="1"/>
  <c r="I160" s="1"/>
  <c r="G159"/>
  <c r="H159" s="1"/>
  <c r="I159" s="1"/>
  <c r="G158"/>
  <c r="H158" s="1"/>
  <c r="I158" s="1"/>
  <c r="G157"/>
  <c r="H157" s="1"/>
  <c r="I157" s="1"/>
  <c r="G156"/>
  <c r="H156" s="1"/>
  <c r="I156" s="1"/>
  <c r="G155"/>
  <c r="H155" s="1"/>
  <c r="I155" s="1"/>
  <c r="G154"/>
  <c r="H154" s="1"/>
  <c r="I154" s="1"/>
  <c r="G153"/>
  <c r="H153" s="1"/>
  <c r="I153" s="1"/>
  <c r="G152"/>
  <c r="H152" s="1"/>
  <c r="I152" s="1"/>
  <c r="G141"/>
  <c r="H141" s="1"/>
  <c r="I141" s="1"/>
  <c r="G140"/>
  <c r="H140" s="1"/>
  <c r="I140" s="1"/>
  <c r="G134"/>
  <c r="H134" s="1"/>
  <c r="I134" s="1"/>
  <c r="G133"/>
  <c r="H133" s="1"/>
  <c r="I133" s="1"/>
  <c r="G132"/>
  <c r="H132" s="1"/>
  <c r="I132" s="1"/>
  <c r="G131"/>
  <c r="H131" s="1"/>
  <c r="I131" s="1"/>
  <c r="G130"/>
  <c r="H130" s="1"/>
  <c r="I130" s="1"/>
  <c r="G129"/>
  <c r="H129" s="1"/>
  <c r="I129" s="1"/>
  <c r="G78"/>
  <c r="H78" s="1"/>
  <c r="I78" s="1"/>
  <c r="G77"/>
  <c r="H77" s="1"/>
  <c r="I77" s="1"/>
  <c r="G76"/>
  <c r="H76" s="1"/>
  <c r="I76" s="1"/>
  <c r="G75"/>
  <c r="H75" s="1"/>
  <c r="I75" s="1"/>
  <c r="G124"/>
  <c r="H124" s="1"/>
  <c r="I124" s="1"/>
  <c r="G74"/>
  <c r="H74" s="1"/>
  <c r="I74" s="1"/>
  <c r="G73"/>
  <c r="H73" s="1"/>
  <c r="I73" s="1"/>
  <c r="G72"/>
  <c r="H72" s="1"/>
  <c r="I72" s="1"/>
  <c r="G71"/>
  <c r="H71" s="1"/>
  <c r="I71" s="1"/>
  <c r="G80"/>
  <c r="H80" s="1"/>
  <c r="I80" s="1"/>
  <c r="G79"/>
  <c r="H79" s="1"/>
  <c r="I79" s="1"/>
  <c r="G70"/>
  <c r="H70" s="1"/>
  <c r="I70" s="1"/>
  <c r="G54"/>
  <c r="H54" s="1"/>
  <c r="I54" s="1"/>
  <c r="G65"/>
  <c r="H65" s="1"/>
  <c r="I65" s="1"/>
  <c r="G64"/>
  <c r="H64" s="1"/>
  <c r="I64" s="1"/>
  <c r="G63"/>
  <c r="H63" s="1"/>
  <c r="I63" s="1"/>
  <c r="G62"/>
  <c r="H62" s="1"/>
  <c r="I62" s="1"/>
  <c r="G61"/>
  <c r="H61" s="1"/>
  <c r="I61" s="1"/>
  <c r="G38"/>
  <c r="H38" s="1"/>
  <c r="I38" s="1"/>
  <c r="G42"/>
  <c r="H42" s="1"/>
  <c r="I42" s="1"/>
  <c r="G40"/>
  <c r="H40" s="1"/>
  <c r="I40" s="1"/>
  <c r="G29"/>
  <c r="H29" s="1"/>
  <c r="I29" s="1"/>
  <c r="G28"/>
  <c r="H28" s="1"/>
  <c r="I28" s="1"/>
  <c r="G24"/>
  <c r="H24" s="1"/>
  <c r="I24" s="1"/>
  <c r="G23"/>
  <c r="H23" s="1"/>
  <c r="I23" s="1"/>
  <c r="G185"/>
  <c r="H185" s="1"/>
  <c r="I185" s="1"/>
  <c r="G184"/>
  <c r="H184" s="1"/>
  <c r="I184" s="1"/>
  <c r="G183"/>
  <c r="H183" s="1"/>
  <c r="I183" s="1"/>
  <c r="G182"/>
  <c r="H182" s="1"/>
  <c r="I182" s="1"/>
  <c r="G20"/>
  <c r="H20" s="1"/>
  <c r="I20" s="1"/>
  <c r="G19"/>
  <c r="H19" s="1"/>
  <c r="I19" s="1"/>
  <c r="G18"/>
  <c r="H18" s="1"/>
  <c r="I18" s="1"/>
  <c r="G17"/>
  <c r="H17" s="1"/>
  <c r="I17" s="1"/>
  <c r="G21"/>
  <c r="H21" s="1"/>
  <c r="I21" s="1"/>
  <c r="G15"/>
  <c r="H15" s="1"/>
  <c r="I15" s="1"/>
  <c r="G14"/>
  <c r="H14" s="1"/>
  <c r="I14" s="1"/>
  <c r="G13"/>
  <c r="H13" s="1"/>
  <c r="I13" s="1"/>
  <c r="G12"/>
  <c r="H12" s="1"/>
  <c r="I12" s="1"/>
  <c r="G10"/>
  <c r="H10" s="1"/>
  <c r="I10" s="1"/>
  <c r="G6"/>
  <c r="H6" s="1"/>
  <c r="I6" s="1"/>
  <c r="I181" l="1"/>
  <c r="I173" s="1"/>
  <c r="I142" s="1"/>
  <c r="I138" s="1"/>
  <c r="I125" s="1"/>
  <c r="I69" s="1"/>
  <c r="I45" s="1"/>
  <c r="I30" s="1"/>
  <c r="I22" s="1"/>
  <c r="I5" l="1"/>
  <c r="G197"/>
  <c r="G198" s="1"/>
</calcChain>
</file>

<file path=xl/sharedStrings.xml><?xml version="1.0" encoding="utf-8"?>
<sst xmlns="http://schemas.openxmlformats.org/spreadsheetml/2006/main" count="895" uniqueCount="545">
  <si>
    <t>Obra</t>
  </si>
  <si>
    <t>Bancos</t>
  </si>
  <si>
    <t>B.D.I.</t>
  </si>
  <si>
    <t>GINASIO POLIESPORTIVO AYRTON SENNA</t>
  </si>
  <si>
    <t>Orçamento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</si>
  <si>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</si>
  <si>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</si>
  <si>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</si>
  <si>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</si>
  <si>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</si>
  <si>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</si>
  <si>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</si>
  <si>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</si>
  <si>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</si>
  <si>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</si>
  <si>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INICIAIS</t>
  </si>
  <si>
    <t xml:space="preserve"> 1.1 </t>
  </si>
  <si>
    <t xml:space="preserve"> 16.06.078 </t>
  </si>
  <si>
    <t>FDE</t>
  </si>
  <si>
    <t>FORNECIMENTO E INSTALAÇAO DE PLACAS DE OBRA</t>
  </si>
  <si>
    <t>m²</t>
  </si>
  <si>
    <t xml:space="preserve"> 1.2 </t>
  </si>
  <si>
    <t xml:space="preserve"> 93584 </t>
  </si>
  <si>
    <t>SINAPI</t>
  </si>
  <si>
    <t>EXECUÇÃO DE DEPÓSITO EM CANTEIRO DE OBRA EM CHAPA DE MADEIRA COMPENSADA, NÃO INCLUSO MOBILIÁRIO. AF_04/2016</t>
  </si>
  <si>
    <t xml:space="preserve"> 1.3 </t>
  </si>
  <si>
    <t xml:space="preserve"> 98458 </t>
  </si>
  <si>
    <t>TAPUME COM COMPENSADO DE MADEIRA. AF_05/2018</t>
  </si>
  <si>
    <t>CPOS</t>
  </si>
  <si>
    <t>un</t>
  </si>
  <si>
    <t xml:space="preserve"> 04.50.001 </t>
  </si>
  <si>
    <t>DEMOLIÇÃO DE ALVENARIAS EM GERAL E ELEMENTOS VAZADOS,INCL REVESTIMENTOS</t>
  </si>
  <si>
    <t>m³</t>
  </si>
  <si>
    <t xml:space="preserve"> 16.50.015 </t>
  </si>
  <si>
    <t>DEMOLICAO DE PISO DE CONCRETO COM RETRO ESCAVADEIRA</t>
  </si>
  <si>
    <t xml:space="preserve"> 04.01.033 </t>
  </si>
  <si>
    <t>ALVENARIA DE BLOCO DE CONCRETO 14X19X39 CM CLASSE C</t>
  </si>
  <si>
    <t xml:space="preserve"> 12.01.001 </t>
  </si>
  <si>
    <t>CHAPISCO</t>
  </si>
  <si>
    <t xml:space="preserve"> 12.02.005 </t>
  </si>
  <si>
    <t>EMBOCO</t>
  </si>
  <si>
    <t xml:space="preserve"> 12.02.007 </t>
  </si>
  <si>
    <t>REBOCO</t>
  </si>
  <si>
    <t xml:space="preserve"> 13.60.003 </t>
  </si>
  <si>
    <t>RETIRADA DE PISO DE CERÂMICA OU LADRILHOS HIDRÁULICOS</t>
  </si>
  <si>
    <t xml:space="preserve"> 06.12.020 </t>
  </si>
  <si>
    <t>Aterro manual apiloado de área interna com maço de 30 kg</t>
  </si>
  <si>
    <t xml:space="preserve"> 16.02.066 </t>
  </si>
  <si>
    <t>PISO DE CONCRETO ARMADO Fck 25MPa DESEMPENAMENTO MECÂNICO  E=10CM</t>
  </si>
  <si>
    <t xml:space="preserve"> 16.80.097 </t>
  </si>
  <si>
    <t>CAÇAMBA DE 4M3 PARA RETIRADA DE ENTULHO</t>
  </si>
  <si>
    <t>UN</t>
  </si>
  <si>
    <t xml:space="preserve"> 16.03.001 </t>
  </si>
  <si>
    <t>CORTE DE MATO E GRAMA - ROÇAGEM MECANIZADA</t>
  </si>
  <si>
    <t xml:space="preserve"> 16.80.098 </t>
  </si>
  <si>
    <t>RETIRADA DE ENTULHO</t>
  </si>
  <si>
    <t xml:space="preserve"> 16.05.042 </t>
  </si>
  <si>
    <t>TC-05 TAMPA DE CONCRETO P/ CANALETA AP (35CM)</t>
  </si>
  <si>
    <t>M</t>
  </si>
  <si>
    <t xml:space="preserve"> 2 </t>
  </si>
  <si>
    <t>COBERTURA</t>
  </si>
  <si>
    <t xml:space="preserve"> 2.1 </t>
  </si>
  <si>
    <t xml:space="preserve"> 07.60.061 </t>
  </si>
  <si>
    <t>RETIRADA DE TELHAS OND DE FIBRO-CIM/PLAST OU ALUM/PLANA PRE FAB - S/REAPROV</t>
  </si>
  <si>
    <t xml:space="preserve"> 2.2 </t>
  </si>
  <si>
    <t xml:space="preserve"> 07.03.135 </t>
  </si>
  <si>
    <t>TELHA GALVALUME / ACO GALV SANDUICHE E=30MM (PUR) / (PIR) TRAPEZ H=40MM NAS DUAS FACES E= 0,50MM COM PINT FACES APARENTES.</t>
  </si>
  <si>
    <t xml:space="preserve"> 2.3 </t>
  </si>
  <si>
    <t xml:space="preserve"> 03.04.016 </t>
  </si>
  <si>
    <t>FORNECIMENTO E MONTAGEM DE ESTRUTURA METALICA COM AÇO RESISTENTE A CORROSAO (ASTM A709/A588)</t>
  </si>
  <si>
    <t>KG</t>
  </si>
  <si>
    <t xml:space="preserve"> 2.4 </t>
  </si>
  <si>
    <t xml:space="preserve"> 61.14.070 </t>
  </si>
  <si>
    <t>Caixa ventiladora com ventilador centrífugo, vazão 1.710 m³/h, pressão 35 mmCA - 220/380 V / 60Hz</t>
  </si>
  <si>
    <t xml:space="preserve"> 2.5 </t>
  </si>
  <si>
    <t xml:space="preserve"> 04.30.020 </t>
  </si>
  <si>
    <t>Remoção de calha ou rufo</t>
  </si>
  <si>
    <t>m</t>
  </si>
  <si>
    <t xml:space="preserve"> 2.6 </t>
  </si>
  <si>
    <t xml:space="preserve"> 08.12.022 </t>
  </si>
  <si>
    <t>CALHA OU AGUA FURTADA EM CHAPA GALV. N 26 - CORTE 0,50M</t>
  </si>
  <si>
    <t xml:space="preserve"> 2.7 </t>
  </si>
  <si>
    <t xml:space="preserve"> 07.04.113 </t>
  </si>
  <si>
    <t>RUFO DENTADO ACO GALV NATURAL E=0,65MM CORTE ATE 400MM</t>
  </si>
  <si>
    <t xml:space="preserve"> 3 </t>
  </si>
  <si>
    <t>ESQUADRIAS</t>
  </si>
  <si>
    <t xml:space="preserve"> 3.1 </t>
  </si>
  <si>
    <t xml:space="preserve"> 05.60.001 </t>
  </si>
  <si>
    <t>RETIRADA DE FOLHAS DE PORTAS OU JANELAS</t>
  </si>
  <si>
    <t xml:space="preserve"> 3.2 </t>
  </si>
  <si>
    <t xml:space="preserve"> 06.02.017 </t>
  </si>
  <si>
    <t>PF-17 PORTA EM CHAPA DE FERRO L=102CM</t>
  </si>
  <si>
    <t xml:space="preserve"> 3.3 </t>
  </si>
  <si>
    <t xml:space="preserve"> 05.01.005 </t>
  </si>
  <si>
    <t>PM-05 PORTA DE MADEIRA SARRAFEADA P/ PINT. BAT. MADEIRA L=92CM</t>
  </si>
  <si>
    <t xml:space="preserve"> 3.4 </t>
  </si>
  <si>
    <t xml:space="preserve"> 05.01.004 </t>
  </si>
  <si>
    <t>PM-04 PORTA DE MADEIRA SARRAFEADA P/ PINT. BAT. MADEIRA L=82CM</t>
  </si>
  <si>
    <t xml:space="preserve"> 3.5 </t>
  </si>
  <si>
    <t xml:space="preserve"> 05.01.014 </t>
  </si>
  <si>
    <t>PM-24 PORTA DE MADEIRA SARRAFEADA P/ PINT. BAT. MADEIRA L=72CM</t>
  </si>
  <si>
    <t xml:space="preserve"> 3.6 </t>
  </si>
  <si>
    <t xml:space="preserve"> 05.01.009 </t>
  </si>
  <si>
    <t>PM-19 PORTA DE MADEIRA MACHO/FEMEA P/ PINT. BAT. MADEIRA L=62CM</t>
  </si>
  <si>
    <t xml:space="preserve"> 3.7 </t>
  </si>
  <si>
    <t xml:space="preserve"> 04.20.020 </t>
  </si>
  <si>
    <t>Remoção de janela de ventilação, iluminação ou ventilação e iluminação padrão</t>
  </si>
  <si>
    <t xml:space="preserve"> 3.8 </t>
  </si>
  <si>
    <t xml:space="preserve"> 06.80.088 </t>
  </si>
  <si>
    <t>CAIXILHO MAXIMAR EM ALUMINIO ANODIZADO</t>
  </si>
  <si>
    <t xml:space="preserve"> 3.9 </t>
  </si>
  <si>
    <t xml:space="preserve"> 25.01.470 </t>
  </si>
  <si>
    <t>Caixilho fixo tipo veneziana em alumínio anodizado, sob medida - branco</t>
  </si>
  <si>
    <t xml:space="preserve"> 3.10 </t>
  </si>
  <si>
    <t xml:space="preserve"> 13.50.019 </t>
  </si>
  <si>
    <t>DEMOLICAO GUARDA-CORPOS EM GERAL INCLUSIVE ARGAMASSA ASSENTAMENTO</t>
  </si>
  <si>
    <t xml:space="preserve"> 3.11 </t>
  </si>
  <si>
    <t xml:space="preserve"> 99839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</si>
  <si>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</si>
  <si>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3.12 </t>
  </si>
  <si>
    <t xml:space="preserve"> 06.03.061 </t>
  </si>
  <si>
    <t>CO-27 CORRIMÃO DUPLO AÇO INOX FORNECIDO E INSTALADO</t>
  </si>
  <si>
    <t xml:space="preserve"> 3.13 </t>
  </si>
  <si>
    <t xml:space="preserve"> 3.14 </t>
  </si>
  <si>
    <t xml:space="preserve"> 24.20.300 </t>
  </si>
  <si>
    <t>Chapa perfurada em aço SAE 1020, furos redondos de diâmetro 7,5 mm, espessura 1/8´ - soldagem tipo MIG</t>
  </si>
  <si>
    <t xml:space="preserve"> 4 </t>
  </si>
  <si>
    <t>HIDRAULICA</t>
  </si>
  <si>
    <t xml:space="preserve"> 4.1 </t>
  </si>
  <si>
    <t xml:space="preserve"> 46.05.020 </t>
  </si>
  <si>
    <t>Tubo PVC rígido, tipo Coletor Esgoto, junta elástica, DN= 100 mm, inclusive conexões</t>
  </si>
  <si>
    <t xml:space="preserve"> 4.2 </t>
  </si>
  <si>
    <t xml:space="preserve"> 46.02.050 </t>
  </si>
  <si>
    <t>Tubo de PVC rígido branco PxB com virola e anel de borracha, linha esgoto série normal, DN= 50 mm, inclusive conexões</t>
  </si>
  <si>
    <t xml:space="preserve"> 4.3 </t>
  </si>
  <si>
    <t xml:space="preserve"> 46.03.060 </t>
  </si>
  <si>
    <t>Tubo de PVC rígido PxB com virola e anel de borracha, linha esgoto série reforçada ´R´. DN= 150 mm, inclusive conexões</t>
  </si>
  <si>
    <t xml:space="preserve"> 4.4 </t>
  </si>
  <si>
    <t xml:space="preserve"> 46.01.050 </t>
  </si>
  <si>
    <t>Tubo de PVC rígido soldável marrom, DN= 50 mm, (1 1/2´), inclusive conexões</t>
  </si>
  <si>
    <t xml:space="preserve"> 4.5 </t>
  </si>
  <si>
    <t xml:space="preserve"> 46.01.030 </t>
  </si>
  <si>
    <t>Tubo de PVC rígido soldável marrom, DN= 32 mm, (1´), inclusive conexões</t>
  </si>
  <si>
    <t xml:space="preserve"> 4.6 </t>
  </si>
  <si>
    <t xml:space="preserve"> 46.01.020 </t>
  </si>
  <si>
    <t>Tubo de PVC rígido soldável marrom, DN= 25 mm, (3/4´), inclusive conexões</t>
  </si>
  <si>
    <t xml:space="preserve"> 4.7 </t>
  </si>
  <si>
    <t xml:space="preserve"> 04.11.020 </t>
  </si>
  <si>
    <t>Retirada de aparelho sanitário incluindo acessórios</t>
  </si>
  <si>
    <t xml:space="preserve"> 4.8 </t>
  </si>
  <si>
    <t>ORSE</t>
  </si>
  <si>
    <t xml:space="preserve"> 4.9 </t>
  </si>
  <si>
    <t xml:space="preserve"> 08.16.091 </t>
  </si>
  <si>
    <t>BR-03  CONJUNTO LAVATORIO E BACIA ACESSIVEIS</t>
  </si>
  <si>
    <t>CJ</t>
  </si>
  <si>
    <t xml:space="preserve"> 4.10 </t>
  </si>
  <si>
    <t xml:space="preserve"> 86902 </t>
  </si>
  <si>
    <t>LAVATÓRIO LOUÇA BRANCA COM COLUNA, *44 X 35,5* CM, PADRÃO POPULAR - FORNECIMENTO E INSTALAÇÃO. AF_01/2020</t>
  </si>
  <si>
    <t xml:space="preserve"> 4.11 </t>
  </si>
  <si>
    <t xml:space="preserve"> 04.11.120 </t>
  </si>
  <si>
    <t>Retirada de torneira ou chuveiro</t>
  </si>
  <si>
    <t xml:space="preserve"> 4.12 </t>
  </si>
  <si>
    <t xml:space="preserve"> 44.03.310 </t>
  </si>
  <si>
    <t>Torneira de mesa para lavatório, acionamento hidromecânico, com registro integrado regulador de vazão, em latão cromado, DN= 1/2´</t>
  </si>
  <si>
    <t xml:space="preserve"> 4.13 </t>
  </si>
  <si>
    <t xml:space="preserve"> 44.03.590 </t>
  </si>
  <si>
    <t>Torneira de mesa para pia com bica móvel e arejador em latão fundido cromado</t>
  </si>
  <si>
    <t xml:space="preserve"> 4.14 </t>
  </si>
  <si>
    <t xml:space="preserve"> 44.20.260 </t>
  </si>
  <si>
    <t>Sifão plástico com copo, rígido, de 1 1/4´ x 2´</t>
  </si>
  <si>
    <t xml:space="preserve"> 4.15 </t>
  </si>
  <si>
    <t xml:space="preserve"> 47.04.040 </t>
  </si>
  <si>
    <t>Válvula de descarga com registro próprio, DN= 1 1/2´</t>
  </si>
  <si>
    <t xml:space="preserve"> 4.16 </t>
  </si>
  <si>
    <t xml:space="preserve"> 08.16.046 </t>
  </si>
  <si>
    <t>TANQUE DE LOUCA BRANCA,GRANDE C/COLUNA</t>
  </si>
  <si>
    <t xml:space="preserve"> 4.17 </t>
  </si>
  <si>
    <t xml:space="preserve"> 08.04.006 </t>
  </si>
  <si>
    <t>REGISTRO DE GAVETA BRUTO DN 50MM (2")</t>
  </si>
  <si>
    <t xml:space="preserve"> 4.18 </t>
  </si>
  <si>
    <t xml:space="preserve"> 08.17.080 </t>
  </si>
  <si>
    <t>TORNEIRA DE LAVAGEM COM CANOPLA DE 1/2"</t>
  </si>
  <si>
    <t xml:space="preserve"> 4.19 </t>
  </si>
  <si>
    <t xml:space="preserve"> 08.04.032 </t>
  </si>
  <si>
    <t>REGISTRO DE PRESSAO C/ CANOPLA CROMADA DN 20MM (3/4")</t>
  </si>
  <si>
    <t xml:space="preserve"> 4.20 </t>
  </si>
  <si>
    <t xml:space="preserve"> 08.17.037 </t>
  </si>
  <si>
    <t>CHUVEIRO ANTIVANDALISMO</t>
  </si>
  <si>
    <t xml:space="preserve"> 4.21 </t>
  </si>
  <si>
    <t xml:space="preserve"> 44.01.200 </t>
  </si>
  <si>
    <t>Mictório de louça sifonado auto aspirante</t>
  </si>
  <si>
    <t xml:space="preserve"> 4.22 </t>
  </si>
  <si>
    <t xml:space="preserve"> 47.04.090 </t>
  </si>
  <si>
    <t>Válvula de mictório antivandalismo, DN= 3/4´</t>
  </si>
  <si>
    <t xml:space="preserve"> 5 </t>
  </si>
  <si>
    <t>ELETRICA</t>
  </si>
  <si>
    <t xml:space="preserve"> 5.1 </t>
  </si>
  <si>
    <t xml:space="preserve"> 09.64.014 </t>
  </si>
  <si>
    <t>RETIRADA DE AP.ILUM.EM POSTE,ARANDELA EXT BRACO ACO OU PROJET EM FACHADA</t>
  </si>
  <si>
    <t xml:space="preserve"> 5.2 </t>
  </si>
  <si>
    <t xml:space="preserve"> 09.64.005 </t>
  </si>
  <si>
    <t>RETIRADA DE APARELHO DE ILUMINACAO, PLAFONS E PENDENTES P/LAMPADAS INCANDESC</t>
  </si>
  <si>
    <t xml:space="preserve"> 5.3 </t>
  </si>
  <si>
    <t xml:space="preserve"> 09.62.017 </t>
  </si>
  <si>
    <t>RETIRADA DE FIO EMBUTIDO ATE 16 MM2</t>
  </si>
  <si>
    <t xml:space="preserve"> 5.4 </t>
  </si>
  <si>
    <t xml:space="preserve"> 09.62.010 </t>
  </si>
  <si>
    <t>RETIRADA DE TUBULACAO ELETRICA APARENTE ACIMA 2"</t>
  </si>
  <si>
    <t xml:space="preserve"> 5.5 </t>
  </si>
  <si>
    <t xml:space="preserve"> 09.62.009 </t>
  </si>
  <si>
    <t>RETIRADA DE TUBULACAO ELETRICA APARENTE ATE 2"</t>
  </si>
  <si>
    <t xml:space="preserve"> 5.6 </t>
  </si>
  <si>
    <t xml:space="preserve"> 09.54.001 </t>
  </si>
  <si>
    <t>REMOCAO DE INTERRUPTORES TOMADAS BOTOES DE CAMPAINHA E CIGARRAS</t>
  </si>
  <si>
    <t xml:space="preserve"> 5.7 </t>
  </si>
  <si>
    <t xml:space="preserve"> 08.17.041 </t>
  </si>
  <si>
    <t>CHUVEIRO ELETRICO COM RESISTENCIA BLINDADA</t>
  </si>
  <si>
    <t xml:space="preserve"> 5.8 </t>
  </si>
  <si>
    <t xml:space="preserve"> 09.05.003 </t>
  </si>
  <si>
    <t>ELETROD ACO GALV QUENTE (NBR 5624) 25 MM (1") - INCL CONEXOES</t>
  </si>
  <si>
    <t xml:space="preserve"> 5.9 </t>
  </si>
  <si>
    <t xml:space="preserve"> 16.20.113 </t>
  </si>
  <si>
    <t>ELETRODUTO CORRUGADO ESPIRAL ENTERRADO PEAD D=100 CABINE PRIMÁRIA NBR 13897</t>
  </si>
  <si>
    <t xml:space="preserve"> 5.10 </t>
  </si>
  <si>
    <t xml:space="preserve"> 09.08.002 </t>
  </si>
  <si>
    <t>INTERRUPTOR DE 1 TECLA SIMPLES EM CX.4"X2"-ELETROD.AÇO GALV.A QUENTE</t>
  </si>
  <si>
    <t xml:space="preserve"> 5.11 </t>
  </si>
  <si>
    <t xml:space="preserve"> 09.09.058 </t>
  </si>
  <si>
    <t>IL-86 LUMINÁRIA DE SOBREPOR FITA LED 36W C/DIFUSOR POLICARBONATO TRANSLÚCIDO</t>
  </si>
  <si>
    <t xml:space="preserve"> 5.12 </t>
  </si>
  <si>
    <t xml:space="preserve"> 97601 </t>
  </si>
  <si>
    <t>REFLETOR EM ALUMÍNIO, DE SUPORTE E ALÇA, COM LÂMPADA VAPOR DE MERCÚRIO DE 250 W, COM REATOR ALTO FATOR DE POTÊNCIA - FORNECIMENTO E INSTALAÇÃO. AF_02/2020</t>
  </si>
  <si>
    <t xml:space="preserve"> 5.13 </t>
  </si>
  <si>
    <t xml:space="preserve"> 32.10.110 </t>
  </si>
  <si>
    <t>Proteção anticorrosiva, com fita adesiva, para ramais sob a terra, com DN acima de 2´ até 3´</t>
  </si>
  <si>
    <t xml:space="preserve"> 5.14 </t>
  </si>
  <si>
    <t xml:space="preserve"> 36.05.110 </t>
  </si>
  <si>
    <t>Isolador pedestal para 25 kV</t>
  </si>
  <si>
    <t xml:space="preserve"> 5.15 </t>
  </si>
  <si>
    <t xml:space="preserve"> 36.06.060 </t>
  </si>
  <si>
    <t>Terminal modular (mufla) unipolar externo para cabo até 70 mm²/15 kV</t>
  </si>
  <si>
    <t>cj</t>
  </si>
  <si>
    <t xml:space="preserve"> 5.16 </t>
  </si>
  <si>
    <t xml:space="preserve"> 37.01.220 </t>
  </si>
  <si>
    <t>Quadro Telebrás de embutir de 1200 x 1200 x 120 mm</t>
  </si>
  <si>
    <t xml:space="preserve"> 5.17 </t>
  </si>
  <si>
    <t xml:space="preserve"> 37.03.240 </t>
  </si>
  <si>
    <t>Quadro de distribuição universal de embutir, para disjuntores 56 DIN / 40 Bolt-on - 225 A - sem componentes</t>
  </si>
  <si>
    <t xml:space="preserve"> 5.18 </t>
  </si>
  <si>
    <t xml:space="preserve"> 37.13.640 </t>
  </si>
  <si>
    <t>Disjuntor termomagnético, bipolar 220/380 V, corrente de 60 A até 100 A</t>
  </si>
  <si>
    <t xml:space="preserve"> 5.19 </t>
  </si>
  <si>
    <t xml:space="preserve"> 37.17.090 </t>
  </si>
  <si>
    <t>Dispositivo diferencial residual de 63 A x 30 mA - 4 polos</t>
  </si>
  <si>
    <t xml:space="preserve"> 5.20 </t>
  </si>
  <si>
    <t xml:space="preserve"> 38.07.300 </t>
  </si>
  <si>
    <t>Perfilado perfurado 38 x 38 mm em chapa 14 pré-zincada, com acessórios</t>
  </si>
  <si>
    <t xml:space="preserve"> 5.21 </t>
  </si>
  <si>
    <t xml:space="preserve"> 39.03.170 </t>
  </si>
  <si>
    <t>Cabo de cobre de 2,5 mm², isolamento 0,6/1 kV - isolação em PVC 70°C</t>
  </si>
  <si>
    <t xml:space="preserve"> 5.22 </t>
  </si>
  <si>
    <t xml:space="preserve"> 39.03.174 </t>
  </si>
  <si>
    <t>Cabo de cobre de 4 mm², isolamento 0,6/1 kV - isolação em PVC 70°C.</t>
  </si>
  <si>
    <t xml:space="preserve"> 5.23 </t>
  </si>
  <si>
    <t xml:space="preserve"> 39.03.178 </t>
  </si>
  <si>
    <t>Cabo de cobre de 6 mm², isolamento 0,6/1 kV - isolação em PVC 70°C</t>
  </si>
  <si>
    <t xml:space="preserve"> 5.24 </t>
  </si>
  <si>
    <t xml:space="preserve"> 39.03.182 </t>
  </si>
  <si>
    <t>Cabo de cobre de 10 mm², isolamento 0,6/1 kV - isolação em PVC 70°C</t>
  </si>
  <si>
    <t xml:space="preserve"> 5.25 </t>
  </si>
  <si>
    <t xml:space="preserve"> 39.21.060 </t>
  </si>
  <si>
    <t>Cabo de cobre flexível de 16 mm², isolamento 0,6/1kV - isolação HEPR 90°C</t>
  </si>
  <si>
    <t xml:space="preserve"> 5.26 </t>
  </si>
  <si>
    <t xml:space="preserve"> 39.26.080 </t>
  </si>
  <si>
    <t>Cabo de cobre flexível de 35 mm², isolamento 0,6/1 kV - isolação HEPR 90°C - baixa emissão de fumaça e gases</t>
  </si>
  <si>
    <t xml:space="preserve"> 5.27 </t>
  </si>
  <si>
    <t xml:space="preserve"> 39.21.120 </t>
  </si>
  <si>
    <t>Cabo de cobre flexível de 120 mm², isolamento 0,6/1kV - isolação HEPR 90°C</t>
  </si>
  <si>
    <t xml:space="preserve"> 5.28 </t>
  </si>
  <si>
    <t xml:space="preserve"> 40.02.060 </t>
  </si>
  <si>
    <t>Caixa de passagem em chapa, com tampa parafusada, 200 x 200 x 100 mm</t>
  </si>
  <si>
    <t xml:space="preserve"> 5.29 </t>
  </si>
  <si>
    <t xml:space="preserve"> 40.04.470 </t>
  </si>
  <si>
    <t>Conjunto 2 tomadas 2P+T de 10 A, completo</t>
  </si>
  <si>
    <t xml:space="preserve"> 5.30 </t>
  </si>
  <si>
    <t xml:space="preserve"> 40.04.480 </t>
  </si>
  <si>
    <t>Conjunto 1 interruptor simples e 1 tomada 2P+T de 10 A, completo</t>
  </si>
  <si>
    <t xml:space="preserve"> 5.31 </t>
  </si>
  <si>
    <t xml:space="preserve"> 40.04.490 </t>
  </si>
  <si>
    <t>Conjunto 2 interruptores simples e 1 tomada 2P+T de 10 A, completo</t>
  </si>
  <si>
    <t xml:space="preserve"> 5.32 </t>
  </si>
  <si>
    <t xml:space="preserve"> 40.04.090 </t>
  </si>
  <si>
    <t>Tomada RJ 11 para telefone, sem placa</t>
  </si>
  <si>
    <t xml:space="preserve"> 5.33 </t>
  </si>
  <si>
    <t xml:space="preserve"> 40.04.096 </t>
  </si>
  <si>
    <t>Tomada RJ 45 para rede de dados, com placa</t>
  </si>
  <si>
    <t xml:space="preserve"> 5.34 </t>
  </si>
  <si>
    <t xml:space="preserve"> 40.07.010 </t>
  </si>
  <si>
    <t>Caixa em PVC de 4´ x 2´</t>
  </si>
  <si>
    <t xml:space="preserve"> 5.35 </t>
  </si>
  <si>
    <t xml:space="preserve"> 40.07.020 </t>
  </si>
  <si>
    <t>Caixa em PVC de 4´ x 4´</t>
  </si>
  <si>
    <t xml:space="preserve"> 5.36 </t>
  </si>
  <si>
    <t xml:space="preserve"> 42.01.040 </t>
  </si>
  <si>
    <t>Captor tipo Franklin, h= 300 mm, 4 pontos, 2 descidas, acabamento cromado</t>
  </si>
  <si>
    <t xml:space="preserve"> 5.37 </t>
  </si>
  <si>
    <t xml:space="preserve"> 42.02.080 </t>
  </si>
  <si>
    <t>Isolador galvanizado uso geral, simples com calha para telha ondulada</t>
  </si>
  <si>
    <t xml:space="preserve"> 5.38 </t>
  </si>
  <si>
    <t xml:space="preserve"> 42.05.110 </t>
  </si>
  <si>
    <t>Conector cabo/haste de 3/4´</t>
  </si>
  <si>
    <t xml:space="preserve"> 5.39 </t>
  </si>
  <si>
    <t xml:space="preserve"> 42.05.120 </t>
  </si>
  <si>
    <t>Conector de emenda em latão para cabo de até 50 mm² com 4 parafusos</t>
  </si>
  <si>
    <t xml:space="preserve"> 5.40 </t>
  </si>
  <si>
    <t xml:space="preserve"> 42.05.140 </t>
  </si>
  <si>
    <t>Conector olhal cabo/haste de 3/4´</t>
  </si>
  <si>
    <t xml:space="preserve"> 5.41 </t>
  </si>
  <si>
    <t xml:space="preserve"> 42.05.160 </t>
  </si>
  <si>
    <t>Conector olhal cabo/haste de 5/8´</t>
  </si>
  <si>
    <t xml:space="preserve"> 5.42 </t>
  </si>
  <si>
    <t xml:space="preserve"> 42.05.210 </t>
  </si>
  <si>
    <t>Haste de aterramento de 5/8</t>
  </si>
  <si>
    <t xml:space="preserve"> 5.43 </t>
  </si>
  <si>
    <t xml:space="preserve"> 42.05.250 </t>
  </si>
  <si>
    <t>Barra condutora chata em alumínio de 3/4´ x 1/4´, inclusive acessórios de fixação</t>
  </si>
  <si>
    <t xml:space="preserve"> 5.44 </t>
  </si>
  <si>
    <t xml:space="preserve"> 42.05.300 </t>
  </si>
  <si>
    <t>Tampa para caixa de inspeção cilíndrica, aço galvanizado</t>
  </si>
  <si>
    <t xml:space="preserve"> 5.45 </t>
  </si>
  <si>
    <t xml:space="preserve"> 42.05.310 </t>
  </si>
  <si>
    <t>Caixa de inspeção do terra cilíndrica em PVC rígido, diâmetro de 300 mm - h= 250 mm</t>
  </si>
  <si>
    <t xml:space="preserve"> 5.46 </t>
  </si>
  <si>
    <t xml:space="preserve"> 39.04.080 </t>
  </si>
  <si>
    <t>Cabo de cobre nu, têmpera mole, classe 2, de 50 mm²</t>
  </si>
  <si>
    <t xml:space="preserve"> 5.47 </t>
  </si>
  <si>
    <t xml:space="preserve"> 39.09.060 </t>
  </si>
  <si>
    <t>Conector split-bolt para cabo de 50 mm², latão, simples</t>
  </si>
  <si>
    <t xml:space="preserve"> 5.48 </t>
  </si>
  <si>
    <t xml:space="preserve"> 39.11.080 </t>
  </si>
  <si>
    <t>Cabo telefônico CI, com 50 pares de 0,50 mm, para centrais telefônicas, equipamentos e rede interna</t>
  </si>
  <si>
    <t xml:space="preserve"> 5.49 </t>
  </si>
  <si>
    <t xml:space="preserve"> 39.18.120 </t>
  </si>
  <si>
    <t>Cabo para rede U/UTP 23 AWG com 4 pares - categoria 6A</t>
  </si>
  <si>
    <t xml:space="preserve"> 5.50 </t>
  </si>
  <si>
    <t xml:space="preserve"> 41.14.510 </t>
  </si>
  <si>
    <t>Luminária industrial pendente com refletor prismático sem alojamento para reator, para lâmpadas vapor de sódio/metálico ou mista de 150/250/400W</t>
  </si>
  <si>
    <t xml:space="preserve"> 5.51 </t>
  </si>
  <si>
    <t xml:space="preserve"> 43.07.360 </t>
  </si>
  <si>
    <t>Ar condicionado a frio, tipo split parede com capacidade de 30.000 BTU/h</t>
  </si>
  <si>
    <t xml:space="preserve"> 5.52 </t>
  </si>
  <si>
    <t xml:space="preserve"> 43.20.130 </t>
  </si>
  <si>
    <t>Caixa de passagem para condicionamento de ar tipo Split, com saída de dreno único na vertical - 39 x 22 x 6 cm</t>
  </si>
  <si>
    <t xml:space="preserve"> 5.53 </t>
  </si>
  <si>
    <t xml:space="preserve"> 46.27.080 </t>
  </si>
  <si>
    <t>Tubo de cobre flexível, espessura 1/32" - diâmetro 3/8", inclusive conexões</t>
  </si>
  <si>
    <t xml:space="preserve"> 5.54 </t>
  </si>
  <si>
    <t xml:space="preserve"> 29.03.040 </t>
  </si>
  <si>
    <t>Cabo em aço galvanizado com alma de aço, diâmetro de 3/8´ (9,52 mm)</t>
  </si>
  <si>
    <t xml:space="preserve"> 5.55 </t>
  </si>
  <si>
    <t xml:space="preserve"> 09.08.054 </t>
  </si>
  <si>
    <t>BOTAO PARA CAMPAINHA - ELETROD. PVC Ø 25MM AMARELO.</t>
  </si>
  <si>
    <t xml:space="preserve"> 6 </t>
  </si>
  <si>
    <t>REVESTIMENTOS</t>
  </si>
  <si>
    <t xml:space="preserve"> 6.1 </t>
  </si>
  <si>
    <t xml:space="preserve"> 12185 </t>
  </si>
  <si>
    <t>Cadeira Monobloco para recinto desportivo em polipropileno, fixação com estrutura no espelho, dimensão:43x45x35, modelo Kango Sport, Marca Kango ou similar, inclusive instalação e frete</t>
  </si>
  <si>
    <t xml:space="preserve"> 6.2 </t>
  </si>
  <si>
    <t xml:space="preserve"> 11068 </t>
  </si>
  <si>
    <t>Piso vinílico em manta, dim. 2,0 x 20,5m, e = 5mm, ref. Omnisports da Tarkett ou similar - fornecimento e instalação, exclusive regularização do piso</t>
  </si>
  <si>
    <t xml:space="preserve"> 6.3 </t>
  </si>
  <si>
    <t xml:space="preserve"> 18.08.110 </t>
  </si>
  <si>
    <t>Revestimento em porcelanato técnico antiderrapante para área externa, grupo de absorção BIa, assentado com argamassa colante industrializada, rejuntado</t>
  </si>
  <si>
    <t xml:space="preserve"> 6.4 </t>
  </si>
  <si>
    <t xml:space="preserve"> 13.02.100 </t>
  </si>
  <si>
    <t>CERAMICA ESMALT.ANTIDER. ABSORÇÃO DE AGUA 3% A 8% PEI 4/5 COEF.ATRITO MINIMO 0,4 USO EXCLUSIVO PADRAO CRECHE</t>
  </si>
  <si>
    <t xml:space="preserve"> 6.5 </t>
  </si>
  <si>
    <t xml:space="preserve"> 12.02.036 </t>
  </si>
  <si>
    <t>REVESTIMENTO COM AZULEJOS LISOS, BRANCO BRILHANTE</t>
  </si>
  <si>
    <t xml:space="preserve"> 6.6 </t>
  </si>
  <si>
    <t xml:space="preserve"> 15.02.018 </t>
  </si>
  <si>
    <t>ESMALTE A BASE DE AGUA</t>
  </si>
  <si>
    <t xml:space="preserve"> 6.7 </t>
  </si>
  <si>
    <t xml:space="preserve"> 15.02.026 </t>
  </si>
  <si>
    <t>TINTA LATEX STANDARD COM MASSA NIVELADORA</t>
  </si>
  <si>
    <t xml:space="preserve"> 6.8 </t>
  </si>
  <si>
    <t xml:space="preserve"> 15.04.082 </t>
  </si>
  <si>
    <t>TINTA LATEX PARA PISO</t>
  </si>
  <si>
    <t xml:space="preserve"> 6.9 </t>
  </si>
  <si>
    <t xml:space="preserve"> 15.03.026 </t>
  </si>
  <si>
    <t>ESMALTE A BASE DE AGUA COM MASSA NIVELADORA EM ESQUADRIAS DE MADEIRA</t>
  </si>
  <si>
    <t xml:space="preserve"> 6.10 </t>
  </si>
  <si>
    <t xml:space="preserve"> 7 </t>
  </si>
  <si>
    <t>INCÊNDIO</t>
  </si>
  <si>
    <t xml:space="preserve"> 7.1 </t>
  </si>
  <si>
    <t xml:space="preserve"> 97.02.197 </t>
  </si>
  <si>
    <t>Placa de sinalização em PVC, com indicação de alerta</t>
  </si>
  <si>
    <t xml:space="preserve"> 7.2 </t>
  </si>
  <si>
    <t xml:space="preserve"> 08.08.028 </t>
  </si>
  <si>
    <t>AH-04 ABRIGO PARA HIDRANTE COM MANGUEIRA 1 1/2"  E ESGUICHO REGULAVEL</t>
  </si>
  <si>
    <t xml:space="preserve"> 7.3 </t>
  </si>
  <si>
    <t xml:space="preserve"> 13.02.058 </t>
  </si>
  <si>
    <t>SINALIZAÇÃO VISUAL DE DEGRAUS-PINTURA ESMALTE EPOXI</t>
  </si>
  <si>
    <t xml:space="preserve"> 8 </t>
  </si>
  <si>
    <t>CASA DO CASEIRO</t>
  </si>
  <si>
    <t xml:space="preserve"> 8.1 </t>
  </si>
  <si>
    <t xml:space="preserve"> 8.2 </t>
  </si>
  <si>
    <t xml:space="preserve"> 05.60.005 </t>
  </si>
  <si>
    <t>RETIRADA DE BATENTES DE ESQUADRIAS DE MADEIRA</t>
  </si>
  <si>
    <t xml:space="preserve"> 8.3 </t>
  </si>
  <si>
    <t xml:space="preserve"> 8.4 </t>
  </si>
  <si>
    <t xml:space="preserve"> 08.60.011 </t>
  </si>
  <si>
    <t>RETIRADA DE APARELHOS SANITÁRIOS INCLUINDO ACESSÓRIOS</t>
  </si>
  <si>
    <t xml:space="preserve"> 8.5 </t>
  </si>
  <si>
    <t xml:space="preserve"> 87509 </t>
  </si>
  <si>
    <t>ALVENARIA DE VEDAÇÃO DE BLOCOS CERÂMICOS FURADOS NA HORIZONTAL DE 14X9X19CM (ESPESSURA 14CM, BLOCO DEITADO) DE PAREDES COM ÁREA LÍQUIDA MAIOR OU IGUAL A 6M² SEM VÃOS E ARGAMASSA DE ASSENTAMENTO COM PREPARO EM BETONEIRA. AF_06/2014</t>
  </si>
  <si>
    <t xml:space="preserve"> 8.6 </t>
  </si>
  <si>
    <t xml:space="preserve"> 87892 </t>
  </si>
  <si>
    <t>CHAPISCO APLICADO EM ALVENARIA (SEM PRESENÇA DE VÃOS) E ESTRUTURAS DE CONCRETO DE FACHADA, COM ROLO PARA TEXTURA ACRÍLICA.  ARGAMASSA INDUSTRIALIZADA COM PREPARO EM MISTURADOR 300 KG. AF_06/2014</t>
  </si>
  <si>
    <t xml:space="preserve"> 8.7 </t>
  </si>
  <si>
    <t xml:space="preserve"> 8.8 </t>
  </si>
  <si>
    <t xml:space="preserve"> 8.9 </t>
  </si>
  <si>
    <t xml:space="preserve"> 09.07.004 </t>
  </si>
  <si>
    <t>FIO DE 2,50 MM2 - 750 V DE ISOLACAO</t>
  </si>
  <si>
    <t xml:space="preserve"> 8.10 </t>
  </si>
  <si>
    <t xml:space="preserve"> 09.07.006 </t>
  </si>
  <si>
    <t>FIO DE 6 MM2 - 750 V DE ISOLACAO</t>
  </si>
  <si>
    <t xml:space="preserve"> 8.11 </t>
  </si>
  <si>
    <t xml:space="preserve"> 09.85.060 </t>
  </si>
  <si>
    <t>CONDULETE DE 1"</t>
  </si>
  <si>
    <t xml:space="preserve"> 8.12 </t>
  </si>
  <si>
    <t xml:space="preserve"> 09.05.013 </t>
  </si>
  <si>
    <t>ELETRODUTO DE PVC RIGIDO ROSCAVEL DE 25MM - INCL CONEXOES</t>
  </si>
  <si>
    <t xml:space="preserve"> 8.13 </t>
  </si>
  <si>
    <t xml:space="preserve"> 09.08.007 </t>
  </si>
  <si>
    <t>INTERRUPTOR DE 1 TECLA PARAL.SIMPL.CX.4"X2"-ELETR.AÇO GALV.A QUENTE</t>
  </si>
  <si>
    <t xml:space="preserve"> 8.14 </t>
  </si>
  <si>
    <t xml:space="preserve"> 09.08.013 </t>
  </si>
  <si>
    <t>TOMADA 2P+T PADRAO NBR 14136, CORRENTE 10A-250V-ELETR. AÇO GALV. A QUENTE</t>
  </si>
  <si>
    <t xml:space="preserve"> 8.15 </t>
  </si>
  <si>
    <t xml:space="preserve"> 09.09.062 </t>
  </si>
  <si>
    <t>IL-62 LUMINARIA DE SOBREPOR C/REFLETOR E ALETAS P/LAMP.FLUORESCENTE (4X16W)</t>
  </si>
  <si>
    <t xml:space="preserve"> 8.16 </t>
  </si>
  <si>
    <t xml:space="preserve"> 09.85.016 </t>
  </si>
  <si>
    <t>LAMPADA FLUORESCENTE DE 16W</t>
  </si>
  <si>
    <t xml:space="preserve"> 8.17 </t>
  </si>
  <si>
    <t xml:space="preserve"> 09.09.030 </t>
  </si>
  <si>
    <t>LUMINÁRIA SOBREPOR LED TUBULAR VIDRO 1X18W TEMPERATURA DE COR 4000°K</t>
  </si>
  <si>
    <t xml:space="preserve"> 8.18 </t>
  </si>
  <si>
    <t xml:space="preserve"> 08.17.038 </t>
  </si>
  <si>
    <t>CHUVEIRO SIMPLES C/ARTICULACAO, LATAO CROMADO DN 15MM (1/2")</t>
  </si>
  <si>
    <t xml:space="preserve"> 8.19 </t>
  </si>
  <si>
    <t xml:space="preserve"> 09.04.091 </t>
  </si>
  <si>
    <t>DISJUNTOR BIPOLAR TERMOMAGNETICO 2X10A A 2X50A</t>
  </si>
  <si>
    <t xml:space="preserve"> 8.20 </t>
  </si>
  <si>
    <t xml:space="preserve"> 08.03.016 </t>
  </si>
  <si>
    <t>TUBO PVC RÍGIDO JUNTA SOLDÁVEL DE 25 INCL CONEXÕES</t>
  </si>
  <si>
    <t xml:space="preserve"> 8.21 </t>
  </si>
  <si>
    <t xml:space="preserve"> 08.11.050 </t>
  </si>
  <si>
    <t>TUBO DE PVC REFORÇADO "SR" JUNTA ELÁSTICA DN 40 INCL CONEXÕES</t>
  </si>
  <si>
    <t xml:space="preserve"> 8.22 </t>
  </si>
  <si>
    <t xml:space="preserve"> 86883 </t>
  </si>
  <si>
    <t>SIFÃO DO TIPO FLEXÍVEL EM PVC 1  X 1.1/2  - FORNECIMENTO E INSTALAÇÃO. AF_01/2020</t>
  </si>
  <si>
    <t xml:space="preserve"> 8.23 </t>
  </si>
  <si>
    <t xml:space="preserve"> 08.16.010 </t>
  </si>
  <si>
    <t>LAVATORIO DE LOUCA BRANCA SEM COLUNA C/ TORNEIRA DE FECHAM AUTOMATICO</t>
  </si>
  <si>
    <t xml:space="preserve"> 8.24 </t>
  </si>
  <si>
    <t xml:space="preserve"> 08.16.004 </t>
  </si>
  <si>
    <t>BACIA SIFONADA COM CAIXA DE DESCARGA ACOPLADA BRANCA</t>
  </si>
  <si>
    <t xml:space="preserve"> 8.25 </t>
  </si>
  <si>
    <t xml:space="preserve"> 8.26 </t>
  </si>
  <si>
    <t xml:space="preserve"> 12.02.029 </t>
  </si>
  <si>
    <t>CERAMICA ESMALTADA 20X20CM</t>
  </si>
  <si>
    <t xml:space="preserve"> 8.27 </t>
  </si>
  <si>
    <t xml:space="preserve"> 8.28 </t>
  </si>
  <si>
    <t xml:space="preserve"> 05.01.010 </t>
  </si>
  <si>
    <t>PM-20 PORTA DE MADEIRA MACHO/FEMEA P/ PINT. BAT. MADEIRA L=82CM</t>
  </si>
  <si>
    <t xml:space="preserve"> 8.29 </t>
  </si>
  <si>
    <t xml:space="preserve"> 16.11.005 </t>
  </si>
  <si>
    <t>LIMPEZA DA OBRA</t>
  </si>
  <si>
    <t xml:space="preserve"> 8.30 </t>
  </si>
  <si>
    <t xml:space="preserve"> 9 </t>
  </si>
  <si>
    <t>ESTACIONAMENTO</t>
  </si>
  <si>
    <t xml:space="preserve"> 9.1 </t>
  </si>
  <si>
    <t xml:space="preserve"> 9.2 </t>
  </si>
  <si>
    <t xml:space="preserve"> 17.02.220 </t>
  </si>
  <si>
    <t>Reboco</t>
  </si>
  <si>
    <t xml:space="preserve"> 9.3 </t>
  </si>
  <si>
    <t xml:space="preserve"> 06.02.088 </t>
  </si>
  <si>
    <t>PORTÃO DE CORRER EM GRADIL ELETROFUNDIDO</t>
  </si>
  <si>
    <t xml:space="preserve"> 9.4 </t>
  </si>
  <si>
    <t xml:space="preserve"> 03.07.070 </t>
  </si>
  <si>
    <t>Fresagem de pavimento asfáltico com espessura até 5 cm, inclusive acomodação do material</t>
  </si>
  <si>
    <t xml:space="preserve"> 9.5 </t>
  </si>
  <si>
    <t xml:space="preserve"> 54.03.200 </t>
  </si>
  <si>
    <t>Concreto asfáltico usinado a quente - Binder</t>
  </si>
  <si>
    <t xml:space="preserve"> 9.6 </t>
  </si>
  <si>
    <t xml:space="preserve"> 13.80.007 </t>
  </si>
  <si>
    <t>PISO DE CONCRETO FCK=25MPA E=5CM</t>
  </si>
  <si>
    <t xml:space="preserve"> 9.7 </t>
  </si>
  <si>
    <t xml:space="preserve"> 30.06.100 </t>
  </si>
  <si>
    <t>Sinalização com pictograma para vaga de estacionamento</t>
  </si>
  <si>
    <t xml:space="preserve"> 10 </t>
  </si>
  <si>
    <t>SERVIÇOS FINAIS</t>
  </si>
  <si>
    <t xml:space="preserve"> 10.1 </t>
  </si>
  <si>
    <t xml:space="preserve"> 10.2 </t>
  </si>
  <si>
    <t xml:space="preserve"> 10.3 </t>
  </si>
  <si>
    <t xml:space="preserve"> 10.4 </t>
  </si>
  <si>
    <t xml:space="preserve"> 16.03.002 </t>
  </si>
  <si>
    <t>GRAMA ESMERALDA EM PLACAS</t>
  </si>
  <si>
    <t>Total sem BDI</t>
  </si>
  <si>
    <t>Total do BDI</t>
  </si>
  <si>
    <t>Total Geral</t>
  </si>
  <si>
    <t>PINTURA DE PISO COM TINTA EPÓXI, APLICAÇÃO MANUAL, 2 DEMÃOS, INCLUSO PRIMER EPÓXI. AF_05/2021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</si>
  <si>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</si>
  <si>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</si>
  <si>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</si>
  <si>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</si>
  <si>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</si>
  <si>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</si>
  <si>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</si>
  <si>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</si>
  <si>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</si>
  <si>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</si>
  <si>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</si>
  <si>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</si>
  <si>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</si>
  <si>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 xml:space="preserve"> 4.23 </t>
  </si>
  <si>
    <t xml:space="preserve"> 6.11 </t>
  </si>
  <si>
    <t xml:space="preserve"> 6.12 </t>
  </si>
  <si>
    <t xml:space="preserve"> 08.84.005 </t>
  </si>
  <si>
    <t>TAMPA DE PLASTICO PARA BACIA SANITARIA</t>
  </si>
  <si>
    <t xml:space="preserve"> 07.05.023 </t>
  </si>
  <si>
    <t>FECHAMENTO TELHA GALVALUME / AÇO GALV TRAP H=40MM E=0,80MM PINT PO 2 FACES USO EXCLUSIVO FUNDO Q. ESPORTES</t>
  </si>
  <si>
    <t xml:space="preserve"> 07.05.025 </t>
  </si>
  <si>
    <t>FECHAMENTO TELHA PERF GALVALUME / AÇO GALV TRAP H=40MM E=0,80MM PINT PO 2 FACES 0 FURO ATE 3,17MM AREA PERFURADA ATE 40% USO EXCLUSIVO LATERAL Q. ESPORTES</t>
  </si>
  <si>
    <t>DEMOLIÇÃO DE ALVENARIA DE BLOCO FURADO, DE FORMA MANUAL, SEM REAPROVEITAMENTO. AF_12/2017</t>
  </si>
  <si>
    <t>CDHU 183</t>
  </si>
  <si>
    <t xml:space="preserve">SINAPI - 08/2021- São Paulo
ORSE - 10/2020 - Sergipe
CDHU - 183 - São Paulo
FDE - 07/2020 - São Paulo
</t>
  </si>
  <si>
    <t>VASO SANITARIO SIFONADO CONVENCIONAL COM LOUÇA BRANCA, INCLUSO CONJUNTO DE LIGAÇÃO PARA BACIA SANITÁRIA AJUSTÁVEL - FORNECIMENTO E INSTALAÇÃO. AF_10/2016</t>
  </si>
  <si>
    <t>Detalhamento de Projeto - Casa de Gás</t>
  </si>
  <si>
    <t xml:space="preserve">AVCB </t>
  </si>
  <si>
    <t>ART</t>
  </si>
  <si>
    <t>ORÇAMENTO - CLIENTE AQUILA</t>
  </si>
  <si>
    <t>Valor Total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</si>
</sst>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2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b/>
      <sz val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4" fontId="19" fillId="0" borderId="0" applyFont="0" applyFill="0" applyBorder="0" applyAlignment="0" applyProtection="0"/>
  </cellStyleXfs>
  <cellXfs count="5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3" fillId="7" borderId="0" xfId="0" applyFont="1" applyFill="1" applyAlignment="1">
      <alignment horizontal="left" vertical="top" wrapText="1"/>
    </xf>
    <xf numFmtId="0" fontId="14" fillId="8" borderId="0" xfId="0" applyFont="1" applyFill="1" applyAlignment="1">
      <alignment horizontal="center" vertical="top" wrapText="1"/>
    </xf>
    <xf numFmtId="0" fontId="17" fillId="11" borderId="0" xfId="0" applyFont="1" applyFill="1" applyAlignment="1">
      <alignment horizontal="left" vertical="top" wrapText="1"/>
    </xf>
    <xf numFmtId="43" fontId="0" fillId="0" borderId="0" xfId="1" applyFont="1"/>
    <xf numFmtId="43" fontId="0" fillId="0" borderId="0" xfId="0" applyNumberFormat="1"/>
    <xf numFmtId="0" fontId="3" fillId="4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center" vertical="top" wrapText="1"/>
    </xf>
    <xf numFmtId="0" fontId="6" fillId="13" borderId="1" xfId="0" applyFont="1" applyFill="1" applyBorder="1" applyAlignment="1">
      <alignment horizontal="left" vertical="top" wrapText="1"/>
    </xf>
    <xf numFmtId="0" fontId="6" fillId="13" borderId="1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right" vertical="top" wrapText="1"/>
    </xf>
    <xf numFmtId="4" fontId="8" fillId="13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43" fontId="11" fillId="0" borderId="1" xfId="1" applyFont="1" applyFill="1" applyBorder="1" applyAlignment="1">
      <alignment horizontal="right" vertical="center" wrapText="1"/>
    </xf>
    <xf numFmtId="43" fontId="12" fillId="0" borderId="1" xfId="1" applyFont="1" applyFill="1" applyBorder="1" applyAlignment="1">
      <alignment horizontal="right" vertical="center" wrapText="1"/>
    </xf>
    <xf numFmtId="43" fontId="12" fillId="0" borderId="1" xfId="1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right" vertical="center" wrapText="1"/>
    </xf>
    <xf numFmtId="43" fontId="7" fillId="13" borderId="1" xfId="1" applyFont="1" applyFill="1" applyBorder="1" applyAlignment="1">
      <alignment horizontal="right" vertical="center" wrapText="1"/>
    </xf>
    <xf numFmtId="43" fontId="6" fillId="13" borderId="1" xfId="1" applyFont="1" applyFill="1" applyBorder="1" applyAlignment="1">
      <alignment horizontal="left" vertical="center" wrapText="1"/>
    </xf>
    <xf numFmtId="43" fontId="8" fillId="13" borderId="1" xfId="1" applyFont="1" applyFill="1" applyBorder="1" applyAlignment="1">
      <alignment horizontal="right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18" fillId="12" borderId="0" xfId="0" applyFont="1" applyFill="1" applyAlignment="1">
      <alignment horizontal="center" vertical="top" wrapText="1"/>
    </xf>
    <xf numFmtId="0" fontId="0" fillId="0" borderId="0" xfId="0"/>
    <xf numFmtId="43" fontId="9" fillId="14" borderId="1" xfId="1" applyFont="1" applyFill="1" applyBorder="1" applyAlignment="1">
      <alignment horizontal="center" vertical="center" wrapText="1"/>
    </xf>
    <xf numFmtId="43" fontId="11" fillId="14" borderId="1" xfId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14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4" fontId="0" fillId="0" borderId="1" xfId="3" applyFont="1" applyBorder="1" applyAlignment="1">
      <alignment vertical="center"/>
    </xf>
    <xf numFmtId="0" fontId="21" fillId="15" borderId="1" xfId="0" applyFont="1" applyFill="1" applyBorder="1" applyAlignment="1">
      <alignment horizontal="right" vertical="center"/>
    </xf>
    <xf numFmtId="44" fontId="21" fillId="15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20" fillId="7" borderId="0" xfId="0" applyFont="1" applyFill="1" applyAlignment="1">
      <alignment horizontal="left" vertical="top" wrapText="1"/>
    </xf>
    <xf numFmtId="10" fontId="13" fillId="7" borderId="0" xfId="2" applyNumberFormat="1" applyFont="1" applyFill="1" applyAlignment="1">
      <alignment horizontal="left" vertical="top" wrapText="1"/>
    </xf>
    <xf numFmtId="0" fontId="13" fillId="7" borderId="0" xfId="0" applyFont="1" applyFill="1" applyAlignment="1">
      <alignment horizontal="left" vertical="top" wrapText="1"/>
    </xf>
    <xf numFmtId="0" fontId="15" fillId="9" borderId="0" xfId="0" applyFont="1" applyFill="1" applyAlignment="1">
      <alignment horizontal="right" vertical="top" wrapText="1"/>
    </xf>
    <xf numFmtId="4" fontId="16" fillId="10" borderId="0" xfId="0" applyNumberFormat="1" applyFont="1" applyFill="1" applyAlignment="1">
      <alignment horizontal="right" vertical="top" wrapText="1"/>
    </xf>
    <xf numFmtId="0" fontId="18" fillId="12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44" fontId="0" fillId="0" borderId="1" xfId="3" applyFont="1" applyBorder="1" applyAlignment="1">
      <alignment horizontal="center" vertical="center"/>
    </xf>
    <xf numFmtId="0" fontId="21" fillId="16" borderId="2" xfId="0" applyFont="1" applyFill="1" applyBorder="1" applyAlignment="1">
      <alignment horizontal="center" vertical="center"/>
    </xf>
    <xf numFmtId="0" fontId="21" fillId="16" borderId="3" xfId="0" applyFont="1" applyFill="1" applyBorder="1" applyAlignment="1">
      <alignment horizontal="center" vertical="center"/>
    </xf>
    <xf numFmtId="4" fontId="14" fillId="8" borderId="0" xfId="0" applyNumberFormat="1" applyFont="1" applyFill="1" applyAlignment="1">
      <alignment horizontal="center" vertical="top" wrapText="1"/>
    </xf>
  </cellXfs>
  <cellStyles count="4">
    <cellStyle name="Moeda" xfId="3" builtinId="4"/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7</xdr:col>
      <xdr:colOff>828675</xdr:colOff>
      <xdr:row>0</xdr:row>
      <xdr:rowOff>95250</xdr:rowOff>
    </xdr:from>
    <xdr:to>
      <xdr:col>8</xdr:col>
      <xdr:colOff>925045</xdr:colOff>
      <xdr:row>1</xdr:row>
      <xdr:rowOff>291777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525125" y="95250"/>
          <a:ext cx="1086970" cy="3870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0"/>
  <sheetViews>
    <sheetView tabSelected="1" showOutlineSymbols="0" showWhiteSpace="0" workbookViewId="0">
      <selection activeCell="P18" sqref="P18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2" max="12" width="11.125" bestFit="1" customWidth="1"/>
  </cols>
  <sheetData>
    <row r="1" spans="1:12" ht="15">
      <c r="A1" s="1"/>
      <c r="B1" s="1"/>
      <c r="C1" s="1"/>
      <c r="D1" s="1" t="s">
        <v>0</v>
      </c>
      <c r="E1" s="39" t="s">
        <v>1</v>
      </c>
      <c r="F1" s="39"/>
      <c r="G1" s="39" t="s">
        <v>2</v>
      </c>
      <c r="H1" s="39"/>
      <c r="I1" s="39"/>
    </row>
    <row r="2" spans="1:12" ht="80.099999999999994" customHeight="1">
      <c r="A2" s="2"/>
      <c r="B2" s="2"/>
      <c r="C2" s="2"/>
      <c r="D2" s="2" t="s">
        <v>3</v>
      </c>
      <c r="E2" s="40" t="s">
        <v>538</v>
      </c>
      <c r="F2" s="40"/>
      <c r="G2" s="41">
        <v>0.24229999999999999</v>
      </c>
      <c r="H2" s="41"/>
      <c r="I2" s="42"/>
    </row>
    <row r="3" spans="1:12" ht="15">
      <c r="A3" s="47" t="s">
        <v>4</v>
      </c>
      <c r="B3" s="46"/>
      <c r="C3" s="46"/>
      <c r="D3" s="46"/>
      <c r="E3" s="46"/>
      <c r="F3" s="46"/>
      <c r="G3" s="46"/>
      <c r="H3" s="46"/>
      <c r="I3" s="46"/>
    </row>
    <row r="4" spans="1:12" ht="30" customHeight="1">
      <c r="A4" s="7" t="s">
        <v>5</v>
      </c>
      <c r="B4" s="8" t="s">
        <v>6</v>
      </c>
      <c r="C4" s="7" t="s">
        <v>7</v>
      </c>
      <c r="D4" s="7" t="s">
        <v>8</v>
      </c>
      <c r="E4" s="9" t="s">
        <v>9</v>
      </c>
      <c r="F4" s="8" t="s">
        <v>10</v>
      </c>
      <c r="G4" s="8" t="s">
        <v>11</v>
      </c>
      <c r="H4" s="8" t="s">
        <v>12</v>
      </c>
      <c r="I4" s="8" t="s">
        <v>13</v>
      </c>
    </row>
    <row r="5" spans="1:12">
      <c r="A5" s="10" t="s">
        <v>14</v>
      </c>
      <c r="B5" s="10"/>
      <c r="C5" s="10"/>
      <c r="D5" s="11" t="s">
        <v>15</v>
      </c>
      <c r="E5" s="10"/>
      <c r="F5" s="12"/>
      <c r="G5" s="10"/>
      <c r="H5" s="10"/>
      <c r="I5" s="13">
        <f>SUM(I6:I20)</f>
        <v>207813.64684990002</v>
      </c>
    </row>
    <row r="6" spans="1:12">
      <c r="A6" s="14" t="s">
        <v>16</v>
      </c>
      <c r="B6" s="27" t="s">
        <v>17</v>
      </c>
      <c r="C6" s="14" t="s">
        <v>18</v>
      </c>
      <c r="D6" s="15" t="s">
        <v>19</v>
      </c>
      <c r="E6" s="16" t="s">
        <v>20</v>
      </c>
      <c r="F6" s="17">
        <v>16</v>
      </c>
      <c r="G6" s="18">
        <f>478.39/1.23</f>
        <v>388.9349593495935</v>
      </c>
      <c r="H6" s="19">
        <f>G6*1.2423</f>
        <v>483.1739</v>
      </c>
      <c r="I6" s="18">
        <f>H6*F6</f>
        <v>7730.7824000000001</v>
      </c>
    </row>
    <row r="7" spans="1:12" s="26" customFormat="1" ht="25.5">
      <c r="A7" s="14" t="s">
        <v>21</v>
      </c>
      <c r="B7" s="28" t="s">
        <v>22</v>
      </c>
      <c r="C7" s="14" t="s">
        <v>23</v>
      </c>
      <c r="D7" s="15" t="s">
        <v>24</v>
      </c>
      <c r="E7" s="16" t="s">
        <v>20</v>
      </c>
      <c r="F7" s="17">
        <v>20</v>
      </c>
      <c r="G7" s="18">
        <v>877.66</v>
      </c>
      <c r="H7" s="19">
        <f>G7*1.2423</f>
        <v>1090.317018</v>
      </c>
      <c r="I7" s="18">
        <f>H7*F7</f>
        <v>21806.340359999998</v>
      </c>
    </row>
    <row r="8" spans="1:12" s="26" customFormat="1">
      <c r="A8" s="14" t="s">
        <v>25</v>
      </c>
      <c r="B8" s="28" t="s">
        <v>26</v>
      </c>
      <c r="C8" s="14" t="s">
        <v>23</v>
      </c>
      <c r="D8" s="15" t="s">
        <v>27</v>
      </c>
      <c r="E8" s="16" t="s">
        <v>20</v>
      </c>
      <c r="F8" s="17">
        <v>234.2</v>
      </c>
      <c r="G8" s="18">
        <v>143.12</v>
      </c>
      <c r="H8" s="19">
        <f>G8*1.2423</f>
        <v>177.79797600000001</v>
      </c>
      <c r="I8" s="18">
        <f>H8*F8</f>
        <v>41640.285979200002</v>
      </c>
    </row>
    <row r="9" spans="1:12" s="26" customFormat="1" ht="25.5">
      <c r="A9" s="14" t="s">
        <v>514</v>
      </c>
      <c r="B9" s="28" t="s">
        <v>30</v>
      </c>
      <c r="C9" s="14" t="s">
        <v>18</v>
      </c>
      <c r="D9" s="15" t="s">
        <v>31</v>
      </c>
      <c r="E9" s="16" t="s">
        <v>32</v>
      </c>
      <c r="F9" s="17">
        <v>41.58</v>
      </c>
      <c r="G9" s="18">
        <v>95.58</v>
      </c>
      <c r="H9" s="19">
        <f>G9*1.2423</f>
        <v>118.73903399999999</v>
      </c>
      <c r="I9" s="18">
        <f>H9*F9</f>
        <v>4937.1690337199998</v>
      </c>
    </row>
    <row r="10" spans="1:12">
      <c r="A10" s="14" t="s">
        <v>515</v>
      </c>
      <c r="B10" s="27" t="s">
        <v>33</v>
      </c>
      <c r="C10" s="14" t="s">
        <v>18</v>
      </c>
      <c r="D10" s="15" t="s">
        <v>34</v>
      </c>
      <c r="E10" s="16" t="s">
        <v>32</v>
      </c>
      <c r="F10" s="17">
        <v>2.69</v>
      </c>
      <c r="G10" s="18">
        <f>78.48/1.23</f>
        <v>63.804878048780495</v>
      </c>
      <c r="H10" s="19">
        <f>G10*1.2423</f>
        <v>79.264800000000008</v>
      </c>
      <c r="I10" s="18">
        <f>H10*F10</f>
        <v>213.22231200000002</v>
      </c>
    </row>
    <row r="11" spans="1:12">
      <c r="A11" s="14" t="s">
        <v>516</v>
      </c>
      <c r="B11" s="27" t="s">
        <v>35</v>
      </c>
      <c r="C11" s="14" t="s">
        <v>18</v>
      </c>
      <c r="D11" s="15" t="s">
        <v>36</v>
      </c>
      <c r="E11" s="16" t="s">
        <v>20</v>
      </c>
      <c r="F11" s="17">
        <v>142.5</v>
      </c>
      <c r="G11" s="18">
        <v>77.45</v>
      </c>
      <c r="H11" s="19">
        <f>G11*1.2423</f>
        <v>96.216134999999994</v>
      </c>
      <c r="I11" s="18">
        <f>H11*F11</f>
        <v>13710.799237499999</v>
      </c>
    </row>
    <row r="12" spans="1:12">
      <c r="A12" s="14" t="s">
        <v>517</v>
      </c>
      <c r="B12" s="27" t="s">
        <v>37</v>
      </c>
      <c r="C12" s="14" t="s">
        <v>18</v>
      </c>
      <c r="D12" s="15" t="s">
        <v>38</v>
      </c>
      <c r="E12" s="16" t="s">
        <v>20</v>
      </c>
      <c r="F12" s="17">
        <v>299.38</v>
      </c>
      <c r="G12" s="20">
        <f>13.18/1.23</f>
        <v>10.715447154471544</v>
      </c>
      <c r="H12" s="19">
        <f>G12*1.2423</f>
        <v>13.311799999999998</v>
      </c>
      <c r="I12" s="18">
        <f>H12*F12</f>
        <v>3985.2866839999992</v>
      </c>
      <c r="L12" s="5"/>
    </row>
    <row r="13" spans="1:12">
      <c r="A13" s="14" t="s">
        <v>518</v>
      </c>
      <c r="B13" s="27" t="s">
        <v>39</v>
      </c>
      <c r="C13" s="14" t="s">
        <v>18</v>
      </c>
      <c r="D13" s="15" t="s">
        <v>40</v>
      </c>
      <c r="E13" s="16" t="s">
        <v>20</v>
      </c>
      <c r="F13" s="17">
        <v>299.38</v>
      </c>
      <c r="G13" s="18">
        <f>37.09/1.23</f>
        <v>30.154471544715449</v>
      </c>
      <c r="H13" s="19">
        <f>G13*1.2423</f>
        <v>37.460900000000002</v>
      </c>
      <c r="I13" s="18">
        <f>H13*F13</f>
        <v>11215.044242</v>
      </c>
      <c r="L13" s="6"/>
    </row>
    <row r="14" spans="1:12" ht="24" customHeight="1">
      <c r="A14" s="14" t="s">
        <v>519</v>
      </c>
      <c r="B14" s="27" t="s">
        <v>41</v>
      </c>
      <c r="C14" s="14" t="s">
        <v>18</v>
      </c>
      <c r="D14" s="15" t="s">
        <v>42</v>
      </c>
      <c r="E14" s="16" t="s">
        <v>20</v>
      </c>
      <c r="F14" s="17">
        <v>299.38</v>
      </c>
      <c r="G14" s="18">
        <f>27.44/1.23</f>
        <v>22.308943089430894</v>
      </c>
      <c r="H14" s="19">
        <f>G14*1.2423</f>
        <v>27.714399999999998</v>
      </c>
      <c r="I14" s="18">
        <f>H14*F14</f>
        <v>8297.1370719999995</v>
      </c>
    </row>
    <row r="15" spans="1:12" ht="24" customHeight="1">
      <c r="A15" s="14" t="s">
        <v>520</v>
      </c>
      <c r="B15" s="27" t="s">
        <v>43</v>
      </c>
      <c r="C15" s="14" t="s">
        <v>18</v>
      </c>
      <c r="D15" s="15" t="s">
        <v>44</v>
      </c>
      <c r="E15" s="16" t="s">
        <v>20</v>
      </c>
      <c r="F15" s="17">
        <v>1141.3499999999999</v>
      </c>
      <c r="G15" s="18">
        <f>30.92/1.23</f>
        <v>25.138211382113823</v>
      </c>
      <c r="H15" s="19">
        <f>G15*1.2423</f>
        <v>31.229200000000002</v>
      </c>
      <c r="I15" s="18">
        <f>H15*F15</f>
        <v>35643.447419999997</v>
      </c>
    </row>
    <row r="16" spans="1:12" ht="24" customHeight="1">
      <c r="A16" s="14" t="s">
        <v>521</v>
      </c>
      <c r="B16" s="28" t="s">
        <v>45</v>
      </c>
      <c r="C16" s="14" t="s">
        <v>28</v>
      </c>
      <c r="D16" s="15" t="s">
        <v>46</v>
      </c>
      <c r="E16" s="16" t="s">
        <v>32</v>
      </c>
      <c r="F16" s="17">
        <v>159.74</v>
      </c>
      <c r="G16" s="18">
        <f>51.74</f>
        <v>51.74</v>
      </c>
      <c r="H16" s="19">
        <f>G16*1.2423</f>
        <v>64.276601999999997</v>
      </c>
      <c r="I16" s="18">
        <f>H16*F16</f>
        <v>10267.54440348</v>
      </c>
    </row>
    <row r="17" spans="1:9" ht="24" customHeight="1">
      <c r="A17" s="14" t="s">
        <v>522</v>
      </c>
      <c r="B17" s="28" t="s">
        <v>49</v>
      </c>
      <c r="C17" s="14" t="s">
        <v>18</v>
      </c>
      <c r="D17" s="15" t="s">
        <v>50</v>
      </c>
      <c r="E17" s="16" t="s">
        <v>51</v>
      </c>
      <c r="F17" s="17">
        <v>36</v>
      </c>
      <c r="G17" s="18">
        <f>612.3/1.23</f>
        <v>497.80487804878044</v>
      </c>
      <c r="H17" s="19">
        <f>G17*1.2423</f>
        <v>618.42299999999989</v>
      </c>
      <c r="I17" s="18">
        <f>H17*F17</f>
        <v>22263.227999999996</v>
      </c>
    </row>
    <row r="18" spans="1:9" ht="24" customHeight="1">
      <c r="A18" s="14" t="s">
        <v>523</v>
      </c>
      <c r="B18" s="28" t="s">
        <v>52</v>
      </c>
      <c r="C18" s="14" t="s">
        <v>18</v>
      </c>
      <c r="D18" s="15" t="s">
        <v>53</v>
      </c>
      <c r="E18" s="16" t="s">
        <v>20</v>
      </c>
      <c r="F18" s="17">
        <v>769.24</v>
      </c>
      <c r="G18" s="18">
        <f>0.88/1.23</f>
        <v>0.71544715447154472</v>
      </c>
      <c r="H18" s="19">
        <f>G18*1.2423</f>
        <v>0.88880000000000003</v>
      </c>
      <c r="I18" s="18">
        <f>H18*F18</f>
        <v>683.700512</v>
      </c>
    </row>
    <row r="19" spans="1:9" ht="24" customHeight="1">
      <c r="A19" s="14" t="s">
        <v>524</v>
      </c>
      <c r="B19" s="28" t="s">
        <v>54</v>
      </c>
      <c r="C19" s="14" t="s">
        <v>18</v>
      </c>
      <c r="D19" s="15" t="s">
        <v>55</v>
      </c>
      <c r="E19" s="16" t="s">
        <v>32</v>
      </c>
      <c r="F19" s="17">
        <v>141.86000000000001</v>
      </c>
      <c r="G19" s="18">
        <f>59.75/1.23</f>
        <v>48.577235772357724</v>
      </c>
      <c r="H19" s="19">
        <f>G19*1.2423</f>
        <v>60.347499999999997</v>
      </c>
      <c r="I19" s="18">
        <f>H19*F19</f>
        <v>8560.8963500000009</v>
      </c>
    </row>
    <row r="20" spans="1:9" ht="24" customHeight="1">
      <c r="A20" s="14" t="s">
        <v>525</v>
      </c>
      <c r="B20" s="28" t="s">
        <v>56</v>
      </c>
      <c r="C20" s="14" t="s">
        <v>18</v>
      </c>
      <c r="D20" s="15" t="s">
        <v>57</v>
      </c>
      <c r="E20" s="16" t="s">
        <v>58</v>
      </c>
      <c r="F20" s="17">
        <v>98.78</v>
      </c>
      <c r="G20" s="18">
        <f>168.98/1.23</f>
        <v>137.3821138211382</v>
      </c>
      <c r="H20" s="19">
        <f>G20*1.2423</f>
        <v>170.66979999999998</v>
      </c>
      <c r="I20" s="18">
        <f>H20*F20</f>
        <v>16858.762843999997</v>
      </c>
    </row>
    <row r="21" spans="1:9" ht="25.5">
      <c r="A21" s="14" t="s">
        <v>526</v>
      </c>
      <c r="B21" s="28" t="s">
        <v>47</v>
      </c>
      <c r="C21" s="14" t="s">
        <v>18</v>
      </c>
      <c r="D21" s="15" t="s">
        <v>48</v>
      </c>
      <c r="E21" s="16" t="s">
        <v>20</v>
      </c>
      <c r="F21" s="17">
        <v>117.03</v>
      </c>
      <c r="G21" s="18">
        <f>128.9/1.23</f>
        <v>104.79674796747967</v>
      </c>
      <c r="H21" s="19">
        <f>G21*1.2423</f>
        <v>130.18899999999999</v>
      </c>
      <c r="I21" s="18">
        <f>H21*F21</f>
        <v>15236.018669999999</v>
      </c>
    </row>
    <row r="22" spans="1:9">
      <c r="A22" s="24" t="s">
        <v>59</v>
      </c>
      <c r="B22" s="10"/>
      <c r="C22" s="10"/>
      <c r="D22" s="11" t="s">
        <v>60</v>
      </c>
      <c r="E22" s="10"/>
      <c r="F22" s="21"/>
      <c r="G22" s="22"/>
      <c r="H22" s="22"/>
      <c r="I22" s="23">
        <f>SUM(I23:I29)</f>
        <v>985951.85934749979</v>
      </c>
    </row>
    <row r="23" spans="1:9" ht="25.5">
      <c r="A23" s="14" t="s">
        <v>61</v>
      </c>
      <c r="B23" s="28" t="s">
        <v>62</v>
      </c>
      <c r="C23" s="14" t="s">
        <v>18</v>
      </c>
      <c r="D23" s="15" t="s">
        <v>63</v>
      </c>
      <c r="E23" s="16" t="s">
        <v>20</v>
      </c>
      <c r="F23" s="17">
        <v>2406.19</v>
      </c>
      <c r="G23" s="18">
        <f>5.78/1.23</f>
        <v>4.6991869918699187</v>
      </c>
      <c r="H23" s="19">
        <f>G23*1.2423</f>
        <v>5.8377999999999997</v>
      </c>
      <c r="I23" s="18">
        <f>H23*F23</f>
        <v>14046.855981999999</v>
      </c>
    </row>
    <row r="24" spans="1:9" ht="38.25">
      <c r="A24" s="14" t="s">
        <v>64</v>
      </c>
      <c r="B24" s="28" t="s">
        <v>65</v>
      </c>
      <c r="C24" s="14" t="s">
        <v>18</v>
      </c>
      <c r="D24" s="15" t="s">
        <v>66</v>
      </c>
      <c r="E24" s="16" t="s">
        <v>20</v>
      </c>
      <c r="F24" s="17">
        <v>2406.19</v>
      </c>
      <c r="G24" s="18">
        <f>354.23/1.23</f>
        <v>287.99186991869919</v>
      </c>
      <c r="H24" s="19">
        <f>G24*1.2423</f>
        <v>357.77229999999997</v>
      </c>
      <c r="I24" s="18">
        <f>H24*F24</f>
        <v>860868.1305369999</v>
      </c>
    </row>
    <row r="25" spans="1:9" ht="25.5">
      <c r="A25" s="14" t="s">
        <v>67</v>
      </c>
      <c r="B25" s="28" t="s">
        <v>68</v>
      </c>
      <c r="C25" s="14" t="s">
        <v>18</v>
      </c>
      <c r="D25" s="15" t="s">
        <v>69</v>
      </c>
      <c r="E25" s="16" t="s">
        <v>70</v>
      </c>
      <c r="F25" s="17">
        <v>1082.4000000000001</v>
      </c>
      <c r="G25" s="18">
        <v>26.54</v>
      </c>
      <c r="H25" s="19">
        <f>G25*1.2423</f>
        <v>32.970641999999998</v>
      </c>
      <c r="I25" s="18">
        <f>H25*F25</f>
        <v>35687.422900800004</v>
      </c>
    </row>
    <row r="26" spans="1:9" ht="25.5">
      <c r="A26" s="14" t="s">
        <v>71</v>
      </c>
      <c r="B26" s="28" t="s">
        <v>72</v>
      </c>
      <c r="C26" s="14" t="s">
        <v>28</v>
      </c>
      <c r="D26" s="15" t="s">
        <v>73</v>
      </c>
      <c r="E26" s="16" t="s">
        <v>29</v>
      </c>
      <c r="F26" s="17">
        <v>10</v>
      </c>
      <c r="G26" s="18">
        <v>4588.38</v>
      </c>
      <c r="H26" s="19">
        <f>G26*1.2423</f>
        <v>5700.1444739999997</v>
      </c>
      <c r="I26" s="18">
        <f>H26*F26</f>
        <v>57001.444739999999</v>
      </c>
    </row>
    <row r="27" spans="1:9">
      <c r="A27" s="14" t="s">
        <v>74</v>
      </c>
      <c r="B27" s="28" t="s">
        <v>75</v>
      </c>
      <c r="C27" s="14" t="s">
        <v>28</v>
      </c>
      <c r="D27" s="15" t="s">
        <v>76</v>
      </c>
      <c r="E27" s="16" t="s">
        <v>77</v>
      </c>
      <c r="F27" s="17">
        <v>150.94</v>
      </c>
      <c r="G27" s="18">
        <v>3.85</v>
      </c>
      <c r="H27" s="19">
        <f>G27*1.2423</f>
        <v>4.7828549999999996</v>
      </c>
      <c r="I27" s="18">
        <f>H27*F27</f>
        <v>721.92413369999997</v>
      </c>
    </row>
    <row r="28" spans="1:9">
      <c r="A28" s="14" t="s">
        <v>78</v>
      </c>
      <c r="B28" s="28" t="s">
        <v>79</v>
      </c>
      <c r="C28" s="14" t="s">
        <v>18</v>
      </c>
      <c r="D28" s="15" t="s">
        <v>80</v>
      </c>
      <c r="E28" s="16" t="s">
        <v>58</v>
      </c>
      <c r="F28" s="17">
        <v>89.52</v>
      </c>
      <c r="G28" s="18">
        <f>135.55/1.23</f>
        <v>110.20325203252034</v>
      </c>
      <c r="H28" s="19">
        <f>G28*1.2423</f>
        <v>136.90550000000002</v>
      </c>
      <c r="I28" s="18">
        <f>H28*F28</f>
        <v>12255.780360000001</v>
      </c>
    </row>
    <row r="29" spans="1:9">
      <c r="A29" s="14" t="s">
        <v>81</v>
      </c>
      <c r="B29" s="28" t="s">
        <v>82</v>
      </c>
      <c r="C29" s="14" t="s">
        <v>18</v>
      </c>
      <c r="D29" s="15" t="s">
        <v>83</v>
      </c>
      <c r="E29" s="16" t="s">
        <v>58</v>
      </c>
      <c r="F29" s="17">
        <v>61.42</v>
      </c>
      <c r="G29" s="18">
        <f>86.57/1.23</f>
        <v>70.382113821138205</v>
      </c>
      <c r="H29" s="19">
        <f>G29*1.2423</f>
        <v>87.435699999999983</v>
      </c>
      <c r="I29" s="18">
        <f>H29*F29</f>
        <v>5370.3006939999987</v>
      </c>
    </row>
    <row r="30" spans="1:9">
      <c r="A30" s="24" t="s">
        <v>84</v>
      </c>
      <c r="B30" s="10"/>
      <c r="C30" s="10"/>
      <c r="D30" s="11" t="s">
        <v>85</v>
      </c>
      <c r="E30" s="10"/>
      <c r="F30" s="21"/>
      <c r="G30" s="22"/>
      <c r="H30" s="22"/>
      <c r="I30" s="23">
        <f>SUM(I31:I44)</f>
        <v>924321.75395117002</v>
      </c>
    </row>
    <row r="31" spans="1:9">
      <c r="A31" s="14" t="s">
        <v>86</v>
      </c>
      <c r="B31" s="28" t="s">
        <v>87</v>
      </c>
      <c r="C31" s="14" t="s">
        <v>18</v>
      </c>
      <c r="D31" s="15" t="s">
        <v>88</v>
      </c>
      <c r="E31" s="16" t="s">
        <v>51</v>
      </c>
      <c r="F31" s="17">
        <v>62</v>
      </c>
      <c r="G31" s="18">
        <v>12.53</v>
      </c>
      <c r="H31" s="19">
        <f>G31*1.2423</f>
        <v>15.566018999999999</v>
      </c>
      <c r="I31" s="18">
        <f>H31*F31</f>
        <v>965.09317799999997</v>
      </c>
    </row>
    <row r="32" spans="1:9" s="26" customFormat="1">
      <c r="A32" s="14" t="s">
        <v>89</v>
      </c>
      <c r="B32" s="28" t="s">
        <v>90</v>
      </c>
      <c r="C32" s="14" t="s">
        <v>18</v>
      </c>
      <c r="D32" s="15" t="s">
        <v>91</v>
      </c>
      <c r="E32" s="16" t="s">
        <v>51</v>
      </c>
      <c r="F32" s="17">
        <v>2</v>
      </c>
      <c r="G32" s="18">
        <v>2724.37</v>
      </c>
      <c r="H32" s="19">
        <f>G32*1.2423</f>
        <v>3384.4848509999997</v>
      </c>
      <c r="I32" s="18">
        <f>H32*F32</f>
        <v>6768.9697019999994</v>
      </c>
    </row>
    <row r="33" spans="1:9" s="26" customFormat="1" ht="25.5">
      <c r="A33" s="14" t="s">
        <v>92</v>
      </c>
      <c r="B33" s="28" t="s">
        <v>93</v>
      </c>
      <c r="C33" s="14" t="s">
        <v>18</v>
      </c>
      <c r="D33" s="15" t="s">
        <v>94</v>
      </c>
      <c r="E33" s="16" t="s">
        <v>51</v>
      </c>
      <c r="F33" s="17">
        <v>3</v>
      </c>
      <c r="G33" s="18">
        <v>1113.4000000000001</v>
      </c>
      <c r="H33" s="19">
        <f>G33*1.2423</f>
        <v>1383.1768200000001</v>
      </c>
      <c r="I33" s="18">
        <f>H33*F33</f>
        <v>4149.5304599999999</v>
      </c>
    </row>
    <row r="34" spans="1:9" s="26" customFormat="1" ht="25.5">
      <c r="A34" s="14" t="s">
        <v>95</v>
      </c>
      <c r="B34" s="28" t="s">
        <v>96</v>
      </c>
      <c r="C34" s="14" t="s">
        <v>18</v>
      </c>
      <c r="D34" s="15" t="s">
        <v>97</v>
      </c>
      <c r="E34" s="16" t="s">
        <v>51</v>
      </c>
      <c r="F34" s="17">
        <v>30</v>
      </c>
      <c r="G34" s="18">
        <v>1093.72</v>
      </c>
      <c r="H34" s="19">
        <f>G34*1.2423</f>
        <v>1358.7283560000001</v>
      </c>
      <c r="I34" s="18">
        <f>H34*F34</f>
        <v>40761.850680000003</v>
      </c>
    </row>
    <row r="35" spans="1:9" s="26" customFormat="1" ht="25.5">
      <c r="A35" s="14" t="s">
        <v>98</v>
      </c>
      <c r="B35" s="28" t="s">
        <v>99</v>
      </c>
      <c r="C35" s="14" t="s">
        <v>18</v>
      </c>
      <c r="D35" s="15" t="s">
        <v>100</v>
      </c>
      <c r="E35" s="16" t="s">
        <v>51</v>
      </c>
      <c r="F35" s="17">
        <v>5</v>
      </c>
      <c r="G35" s="18">
        <v>1090.8399999999999</v>
      </c>
      <c r="H35" s="19">
        <f>G35*1.2423</f>
        <v>1355.1505319999999</v>
      </c>
      <c r="I35" s="18">
        <f>H35*F35</f>
        <v>6775.7526599999992</v>
      </c>
    </row>
    <row r="36" spans="1:9" s="26" customFormat="1" ht="25.5">
      <c r="A36" s="14" t="s">
        <v>101</v>
      </c>
      <c r="B36" s="28" t="s">
        <v>102</v>
      </c>
      <c r="C36" s="14" t="s">
        <v>18</v>
      </c>
      <c r="D36" s="15" t="s">
        <v>103</v>
      </c>
      <c r="E36" s="16" t="s">
        <v>51</v>
      </c>
      <c r="F36" s="17">
        <v>29</v>
      </c>
      <c r="G36" s="18">
        <v>1310</v>
      </c>
      <c r="H36" s="19">
        <f>G36*1.2423</f>
        <v>1627.413</v>
      </c>
      <c r="I36" s="18">
        <f>H36*F36</f>
        <v>47194.976999999999</v>
      </c>
    </row>
    <row r="37" spans="1:9" s="26" customFormat="1">
      <c r="A37" s="14" t="s">
        <v>104</v>
      </c>
      <c r="B37" s="28" t="s">
        <v>105</v>
      </c>
      <c r="C37" s="14" t="s">
        <v>28</v>
      </c>
      <c r="D37" s="15" t="s">
        <v>106</v>
      </c>
      <c r="E37" s="16" t="s">
        <v>29</v>
      </c>
      <c r="F37" s="17">
        <v>18</v>
      </c>
      <c r="G37" s="18">
        <v>29.37</v>
      </c>
      <c r="H37" s="19">
        <f>G37*1.2423</f>
        <v>36.486350999999999</v>
      </c>
      <c r="I37" s="18">
        <f>H37*F37</f>
        <v>656.75431800000001</v>
      </c>
    </row>
    <row r="38" spans="1:9" s="26" customFormat="1">
      <c r="A38" s="14" t="s">
        <v>107</v>
      </c>
      <c r="B38" s="28" t="s">
        <v>108</v>
      </c>
      <c r="C38" s="14" t="s">
        <v>18</v>
      </c>
      <c r="D38" s="15" t="s">
        <v>109</v>
      </c>
      <c r="E38" s="16" t="s">
        <v>20</v>
      </c>
      <c r="F38" s="17">
        <v>106.43</v>
      </c>
      <c r="G38" s="18">
        <f>1128.42/1.23</f>
        <v>917.41463414634154</v>
      </c>
      <c r="H38" s="19">
        <f>G38*1.2423</f>
        <v>1139.7042000000001</v>
      </c>
      <c r="I38" s="18">
        <f>H38*F38</f>
        <v>121298.71800600002</v>
      </c>
    </row>
    <row r="39" spans="1:9" s="26" customFormat="1">
      <c r="A39" s="14" t="s">
        <v>110</v>
      </c>
      <c r="B39" s="28" t="s">
        <v>111</v>
      </c>
      <c r="C39" s="14" t="s">
        <v>28</v>
      </c>
      <c r="D39" s="15" t="s">
        <v>112</v>
      </c>
      <c r="E39" s="16" t="s">
        <v>20</v>
      </c>
      <c r="F39" s="17">
        <v>135.35</v>
      </c>
      <c r="G39" s="18">
        <v>1196.01</v>
      </c>
      <c r="H39" s="19">
        <f>G39*1.2423</f>
        <v>1485.8032229999999</v>
      </c>
      <c r="I39" s="18">
        <f>H39*F39</f>
        <v>201103.46623304999</v>
      </c>
    </row>
    <row r="40" spans="1:9" ht="25.5">
      <c r="A40" s="14" t="s">
        <v>113</v>
      </c>
      <c r="B40" s="28" t="s">
        <v>114</v>
      </c>
      <c r="C40" s="14" t="s">
        <v>18</v>
      </c>
      <c r="D40" s="15" t="s">
        <v>115</v>
      </c>
      <c r="E40" s="16" t="s">
        <v>58</v>
      </c>
      <c r="F40" s="17">
        <v>108.72</v>
      </c>
      <c r="G40" s="18">
        <f>2.47/1.23</f>
        <v>2.0081300813008132</v>
      </c>
      <c r="H40" s="19">
        <f>G40*1.2423</f>
        <v>2.4946999999999999</v>
      </c>
      <c r="I40" s="18">
        <f>H40*F40</f>
        <v>271.22378399999997</v>
      </c>
    </row>
    <row r="41" spans="1:9" ht="51">
      <c r="A41" s="14" t="s">
        <v>116</v>
      </c>
      <c r="B41" s="28" t="s">
        <v>117</v>
      </c>
      <c r="C41" s="14" t="s">
        <v>23</v>
      </c>
      <c r="D41" s="15" t="s">
        <v>118</v>
      </c>
      <c r="E41" s="16" t="s">
        <v>58</v>
      </c>
      <c r="F41" s="17">
        <v>108.72</v>
      </c>
      <c r="G41" s="18">
        <v>539.36</v>
      </c>
      <c r="H41" s="19">
        <f>G41*1.2423</f>
        <v>670.04692799999998</v>
      </c>
      <c r="I41" s="18">
        <f>H41*F41</f>
        <v>72847.502012159996</v>
      </c>
    </row>
    <row r="42" spans="1:9">
      <c r="A42" s="14" t="s">
        <v>119</v>
      </c>
      <c r="B42" s="28" t="s">
        <v>120</v>
      </c>
      <c r="C42" s="14" t="s">
        <v>18</v>
      </c>
      <c r="D42" s="15" t="s">
        <v>121</v>
      </c>
      <c r="E42" s="16" t="s">
        <v>58</v>
      </c>
      <c r="F42" s="17">
        <v>81.2</v>
      </c>
      <c r="G42" s="18">
        <f>717.86/1.23</f>
        <v>583.6260162601626</v>
      </c>
      <c r="H42" s="19">
        <f>G42*1.2423</f>
        <v>725.03859999999997</v>
      </c>
      <c r="I42" s="18">
        <f>H42*F42</f>
        <v>58873.134319999997</v>
      </c>
    </row>
    <row r="43" spans="1:9" ht="25.5">
      <c r="A43" s="14" t="s">
        <v>122</v>
      </c>
      <c r="B43" s="28" t="s">
        <v>68</v>
      </c>
      <c r="C43" s="14" t="s">
        <v>18</v>
      </c>
      <c r="D43" s="15" t="s">
        <v>69</v>
      </c>
      <c r="E43" s="16" t="s">
        <v>70</v>
      </c>
      <c r="F43" s="17">
        <v>1430.88</v>
      </c>
      <c r="G43" s="18">
        <v>26.54</v>
      </c>
      <c r="H43" s="19">
        <f>G43*1.2423</f>
        <v>32.970641999999998</v>
      </c>
      <c r="I43" s="18">
        <f>H43*F43</f>
        <v>47177.032224959999</v>
      </c>
    </row>
    <row r="44" spans="1:9" ht="25.5">
      <c r="A44" s="14" t="s">
        <v>123</v>
      </c>
      <c r="B44" s="28" t="s">
        <v>124</v>
      </c>
      <c r="C44" s="14" t="s">
        <v>537</v>
      </c>
      <c r="D44" s="15" t="s">
        <v>125</v>
      </c>
      <c r="E44" s="16" t="s">
        <v>20</v>
      </c>
      <c r="F44" s="17">
        <v>331</v>
      </c>
      <c r="G44" s="18">
        <v>767.21</v>
      </c>
      <c r="H44" s="19">
        <f>G44*1.2423</f>
        <v>953.10498300000006</v>
      </c>
      <c r="I44" s="18">
        <f>H44*F44</f>
        <v>315477.749373</v>
      </c>
    </row>
    <row r="45" spans="1:9">
      <c r="A45" s="24" t="s">
        <v>126</v>
      </c>
      <c r="B45" s="10"/>
      <c r="C45" s="10"/>
      <c r="D45" s="11" t="s">
        <v>127</v>
      </c>
      <c r="E45" s="10"/>
      <c r="F45" s="21"/>
      <c r="G45" s="22"/>
      <c r="H45" s="22"/>
      <c r="I45" s="23">
        <f>SUM(I46:I67)</f>
        <v>175749.2994437</v>
      </c>
    </row>
    <row r="46" spans="1:9" ht="25.5">
      <c r="A46" s="14" t="s">
        <v>128</v>
      </c>
      <c r="B46" s="28" t="s">
        <v>129</v>
      </c>
      <c r="C46" s="14" t="s">
        <v>537</v>
      </c>
      <c r="D46" s="15" t="s">
        <v>130</v>
      </c>
      <c r="E46" s="16" t="s">
        <v>77</v>
      </c>
      <c r="F46" s="17">
        <v>215.52</v>
      </c>
      <c r="G46" s="18">
        <v>45.62</v>
      </c>
      <c r="H46" s="19">
        <f>G46*1.2423</f>
        <v>56.673725999999995</v>
      </c>
      <c r="I46" s="18">
        <f>H46*F46</f>
        <v>12214.321427519999</v>
      </c>
    </row>
    <row r="47" spans="1:9" s="26" customFormat="1" ht="25.5">
      <c r="A47" s="14" t="s">
        <v>131</v>
      </c>
      <c r="B47" s="28" t="s">
        <v>132</v>
      </c>
      <c r="C47" s="14" t="s">
        <v>537</v>
      </c>
      <c r="D47" s="15" t="s">
        <v>133</v>
      </c>
      <c r="E47" s="16" t="s">
        <v>77</v>
      </c>
      <c r="F47" s="17">
        <v>187.5</v>
      </c>
      <c r="G47" s="18">
        <v>42.17</v>
      </c>
      <c r="H47" s="19">
        <f>G47*1.2423</f>
        <v>52.387791</v>
      </c>
      <c r="I47" s="18">
        <f>H47*F47</f>
        <v>9822.7108124999995</v>
      </c>
    </row>
    <row r="48" spans="1:9" s="26" customFormat="1" ht="25.5">
      <c r="A48" s="14" t="s">
        <v>134</v>
      </c>
      <c r="B48" s="28" t="s">
        <v>135</v>
      </c>
      <c r="C48" s="14" t="s">
        <v>537</v>
      </c>
      <c r="D48" s="15" t="s">
        <v>136</v>
      </c>
      <c r="E48" s="16" t="s">
        <v>77</v>
      </c>
      <c r="F48" s="17">
        <v>124.6</v>
      </c>
      <c r="G48" s="18">
        <v>140.94</v>
      </c>
      <c r="H48" s="19">
        <f>G48*1.2423</f>
        <v>175.08976199999998</v>
      </c>
      <c r="I48" s="18">
        <f>H48*F48</f>
        <v>21816.184345199996</v>
      </c>
    </row>
    <row r="49" spans="1:9" s="26" customFormat="1">
      <c r="A49" s="14" t="s">
        <v>137</v>
      </c>
      <c r="B49" s="28" t="s">
        <v>138</v>
      </c>
      <c r="C49" s="14" t="s">
        <v>537</v>
      </c>
      <c r="D49" s="15" t="s">
        <v>139</v>
      </c>
      <c r="E49" s="16" t="s">
        <v>77</v>
      </c>
      <c r="F49" s="17">
        <v>498.5</v>
      </c>
      <c r="G49" s="18">
        <v>49.11</v>
      </c>
      <c r="H49" s="19">
        <f>G49*1.2423</f>
        <v>61.009352999999997</v>
      </c>
      <c r="I49" s="18">
        <f>H49*F49</f>
        <v>30413.162470499999</v>
      </c>
    </row>
    <row r="50" spans="1:9" s="26" customFormat="1">
      <c r="A50" s="14" t="s">
        <v>140</v>
      </c>
      <c r="B50" s="28" t="s">
        <v>141</v>
      </c>
      <c r="C50" s="14" t="s">
        <v>537</v>
      </c>
      <c r="D50" s="15" t="s">
        <v>142</v>
      </c>
      <c r="E50" s="16" t="s">
        <v>77</v>
      </c>
      <c r="F50" s="17">
        <v>298.56</v>
      </c>
      <c r="G50" s="18">
        <v>36.71</v>
      </c>
      <c r="H50" s="19">
        <f>G50*1.2423</f>
        <v>45.604832999999999</v>
      </c>
      <c r="I50" s="18">
        <f>H50*F50</f>
        <v>13615.778940480001</v>
      </c>
    </row>
    <row r="51" spans="1:9" s="26" customFormat="1">
      <c r="A51" s="14" t="s">
        <v>143</v>
      </c>
      <c r="B51" s="28" t="s">
        <v>144</v>
      </c>
      <c r="C51" s="14" t="s">
        <v>537</v>
      </c>
      <c r="D51" s="15" t="s">
        <v>145</v>
      </c>
      <c r="E51" s="16" t="s">
        <v>77</v>
      </c>
      <c r="F51" s="17">
        <v>248.7</v>
      </c>
      <c r="G51" s="18">
        <v>28.25</v>
      </c>
      <c r="H51" s="19">
        <f>G51*1.2423</f>
        <v>35.094974999999998</v>
      </c>
      <c r="I51" s="18">
        <f>H51*F51</f>
        <v>8728.1202824999982</v>
      </c>
    </row>
    <row r="52" spans="1:9" s="26" customFormat="1">
      <c r="A52" s="14" t="s">
        <v>146</v>
      </c>
      <c r="B52" s="28" t="s">
        <v>147</v>
      </c>
      <c r="C52" s="14" t="s">
        <v>537</v>
      </c>
      <c r="D52" s="15" t="s">
        <v>148</v>
      </c>
      <c r="E52" s="16" t="s">
        <v>29</v>
      </c>
      <c r="F52" s="17">
        <v>59</v>
      </c>
      <c r="G52" s="18">
        <v>37.86</v>
      </c>
      <c r="H52" s="19">
        <f>G52*1.2423</f>
        <v>47.033477999999995</v>
      </c>
      <c r="I52" s="18">
        <f>H52*F52</f>
        <v>2774.9752019999996</v>
      </c>
    </row>
    <row r="53" spans="1:9" s="26" customFormat="1" ht="38.25">
      <c r="A53" s="14" t="s">
        <v>149</v>
      </c>
      <c r="B53" s="28">
        <v>95470</v>
      </c>
      <c r="C53" s="14" t="s">
        <v>23</v>
      </c>
      <c r="D53" s="15" t="s">
        <v>539</v>
      </c>
      <c r="E53" s="16" t="s">
        <v>51</v>
      </c>
      <c r="F53" s="17">
        <v>35</v>
      </c>
      <c r="G53" s="18">
        <v>227.99</v>
      </c>
      <c r="H53" s="19">
        <f>G53*1.2423</f>
        <v>283.23197700000003</v>
      </c>
      <c r="I53" s="18">
        <f>H53*F53</f>
        <v>9913.1191950000011</v>
      </c>
    </row>
    <row r="54" spans="1:9" s="26" customFormat="1">
      <c r="A54" s="14" t="s">
        <v>151</v>
      </c>
      <c r="B54" s="28" t="s">
        <v>152</v>
      </c>
      <c r="C54" s="14" t="s">
        <v>18</v>
      </c>
      <c r="D54" s="15" t="s">
        <v>153</v>
      </c>
      <c r="E54" s="16" t="s">
        <v>154</v>
      </c>
      <c r="F54" s="17">
        <v>3</v>
      </c>
      <c r="G54" s="18">
        <f>3229.64/1.23</f>
        <v>2625.7235772357722</v>
      </c>
      <c r="H54" s="19">
        <f>G54*1.2423</f>
        <v>3261.9363999999996</v>
      </c>
      <c r="I54" s="18">
        <f>H54*F54</f>
        <v>9785.8091999999997</v>
      </c>
    </row>
    <row r="55" spans="1:9" ht="25.5">
      <c r="A55" s="14" t="s">
        <v>155</v>
      </c>
      <c r="B55" s="28" t="s">
        <v>156</v>
      </c>
      <c r="C55" s="14" t="s">
        <v>23</v>
      </c>
      <c r="D55" s="15" t="s">
        <v>157</v>
      </c>
      <c r="E55" s="16" t="s">
        <v>51</v>
      </c>
      <c r="F55" s="17">
        <v>22</v>
      </c>
      <c r="G55" s="18">
        <v>227.26</v>
      </c>
      <c r="H55" s="19">
        <f>G55*1.2423</f>
        <v>282.32509799999997</v>
      </c>
      <c r="I55" s="18">
        <f>H55*F55</f>
        <v>6211.1521559999992</v>
      </c>
    </row>
    <row r="56" spans="1:9">
      <c r="A56" s="14" t="s">
        <v>158</v>
      </c>
      <c r="B56" s="28" t="s">
        <v>159</v>
      </c>
      <c r="C56" s="14" t="s">
        <v>537</v>
      </c>
      <c r="D56" s="15" t="s">
        <v>160</v>
      </c>
      <c r="E56" s="16" t="s">
        <v>29</v>
      </c>
      <c r="F56" s="17">
        <v>27</v>
      </c>
      <c r="G56" s="18">
        <v>6.56</v>
      </c>
      <c r="H56" s="19">
        <f>G56*1.2423</f>
        <v>8.1494879999999998</v>
      </c>
      <c r="I56" s="18">
        <f>H56*F56</f>
        <v>220.03617599999998</v>
      </c>
    </row>
    <row r="57" spans="1:9" ht="25.5">
      <c r="A57" s="14" t="s">
        <v>161</v>
      </c>
      <c r="B57" s="28" t="s">
        <v>162</v>
      </c>
      <c r="C57" s="14" t="s">
        <v>537</v>
      </c>
      <c r="D57" s="15" t="s">
        <v>163</v>
      </c>
      <c r="E57" s="16" t="s">
        <v>29</v>
      </c>
      <c r="F57" s="17">
        <v>22</v>
      </c>
      <c r="G57" s="18">
        <v>859.91</v>
      </c>
      <c r="H57" s="19">
        <f>G57*1.2423</f>
        <v>1068.2661929999999</v>
      </c>
      <c r="I57" s="18">
        <f>H57*F57</f>
        <v>23501.856245999999</v>
      </c>
    </row>
    <row r="58" spans="1:9">
      <c r="A58" s="14" t="s">
        <v>164</v>
      </c>
      <c r="B58" s="28" t="s">
        <v>165</v>
      </c>
      <c r="C58" s="14" t="s">
        <v>537</v>
      </c>
      <c r="D58" s="15" t="s">
        <v>166</v>
      </c>
      <c r="E58" s="16" t="s">
        <v>29</v>
      </c>
      <c r="F58" s="17">
        <v>1</v>
      </c>
      <c r="G58" s="18">
        <v>185.63</v>
      </c>
      <c r="H58" s="19">
        <f>G58*1.2423</f>
        <v>230.608149</v>
      </c>
      <c r="I58" s="18">
        <f>H58*F58</f>
        <v>230.608149</v>
      </c>
    </row>
    <row r="59" spans="1:9">
      <c r="A59" s="14" t="s">
        <v>167</v>
      </c>
      <c r="B59" s="28" t="s">
        <v>168</v>
      </c>
      <c r="C59" s="14" t="s">
        <v>537</v>
      </c>
      <c r="D59" s="15" t="s">
        <v>169</v>
      </c>
      <c r="E59" s="16" t="s">
        <v>29</v>
      </c>
      <c r="F59" s="17">
        <v>25</v>
      </c>
      <c r="G59" s="18">
        <v>31.92</v>
      </c>
      <c r="H59" s="19">
        <f>G59*1.2423</f>
        <v>39.654215999999998</v>
      </c>
      <c r="I59" s="18">
        <f>H59*F59</f>
        <v>991.35539999999992</v>
      </c>
    </row>
    <row r="60" spans="1:9">
      <c r="A60" s="14" t="s">
        <v>170</v>
      </c>
      <c r="B60" s="28" t="s">
        <v>171</v>
      </c>
      <c r="C60" s="14" t="s">
        <v>537</v>
      </c>
      <c r="D60" s="15" t="s">
        <v>172</v>
      </c>
      <c r="E60" s="16" t="s">
        <v>29</v>
      </c>
      <c r="F60" s="17">
        <v>35</v>
      </c>
      <c r="G60" s="18">
        <v>273.81</v>
      </c>
      <c r="H60" s="19">
        <f>G60*1.2423</f>
        <v>340.15416299999998</v>
      </c>
      <c r="I60" s="18">
        <f>H60*F60</f>
        <v>11905.395704999999</v>
      </c>
    </row>
    <row r="61" spans="1:9">
      <c r="A61" s="14" t="s">
        <v>173</v>
      </c>
      <c r="B61" s="28" t="s">
        <v>174</v>
      </c>
      <c r="C61" s="14" t="s">
        <v>18</v>
      </c>
      <c r="D61" s="15" t="s">
        <v>175</v>
      </c>
      <c r="E61" s="16" t="s">
        <v>51</v>
      </c>
      <c r="F61" s="17">
        <v>2</v>
      </c>
      <c r="G61" s="18">
        <f>1092.61/1.23</f>
        <v>888.30081300813004</v>
      </c>
      <c r="H61" s="19">
        <f>G61*1.2423</f>
        <v>1103.5360999999998</v>
      </c>
      <c r="I61" s="18">
        <f>H61*F61</f>
        <v>2207.0721999999996</v>
      </c>
    </row>
    <row r="62" spans="1:9">
      <c r="A62" s="14" t="s">
        <v>176</v>
      </c>
      <c r="B62" s="28" t="s">
        <v>177</v>
      </c>
      <c r="C62" s="14" t="s">
        <v>18</v>
      </c>
      <c r="D62" s="15" t="s">
        <v>178</v>
      </c>
      <c r="E62" s="16" t="s">
        <v>51</v>
      </c>
      <c r="F62" s="17">
        <v>8</v>
      </c>
      <c r="G62" s="18">
        <f>182.9/1.23</f>
        <v>148.69918699186994</v>
      </c>
      <c r="H62" s="19">
        <f>G62*1.2423</f>
        <v>184.72900000000001</v>
      </c>
      <c r="I62" s="18">
        <f>H62*F62</f>
        <v>1477.8320000000001</v>
      </c>
    </row>
    <row r="63" spans="1:9">
      <c r="A63" s="14" t="s">
        <v>179</v>
      </c>
      <c r="B63" s="28" t="s">
        <v>180</v>
      </c>
      <c r="C63" s="14" t="s">
        <v>18</v>
      </c>
      <c r="D63" s="15" t="s">
        <v>181</v>
      </c>
      <c r="E63" s="16" t="s">
        <v>51</v>
      </c>
      <c r="F63" s="17">
        <v>4</v>
      </c>
      <c r="G63" s="18">
        <f>78.25/1.23</f>
        <v>63.617886178861788</v>
      </c>
      <c r="H63" s="19">
        <f>G63*1.2423</f>
        <v>79.032499999999999</v>
      </c>
      <c r="I63" s="18">
        <f>H63*F63</f>
        <v>316.13</v>
      </c>
    </row>
    <row r="64" spans="1:9">
      <c r="A64" s="14" t="s">
        <v>182</v>
      </c>
      <c r="B64" s="28" t="s">
        <v>183</v>
      </c>
      <c r="C64" s="14" t="s">
        <v>18</v>
      </c>
      <c r="D64" s="15" t="s">
        <v>184</v>
      </c>
      <c r="E64" s="16" t="s">
        <v>51</v>
      </c>
      <c r="F64" s="17">
        <v>6</v>
      </c>
      <c r="G64" s="18">
        <f>118.84/1.23</f>
        <v>96.617886178861795</v>
      </c>
      <c r="H64" s="19">
        <f>G64*1.2423</f>
        <v>120.0284</v>
      </c>
      <c r="I64" s="18">
        <f>H64*F64</f>
        <v>720.17039999999997</v>
      </c>
    </row>
    <row r="65" spans="1:9">
      <c r="A65" s="14" t="s">
        <v>185</v>
      </c>
      <c r="B65" s="28" t="s">
        <v>186</v>
      </c>
      <c r="C65" s="14" t="s">
        <v>18</v>
      </c>
      <c r="D65" s="15" t="s">
        <v>187</v>
      </c>
      <c r="E65" s="16" t="s">
        <v>51</v>
      </c>
      <c r="F65" s="17">
        <v>6</v>
      </c>
      <c r="G65" s="18">
        <f>878.74/1.23</f>
        <v>714.42276422764235</v>
      </c>
      <c r="H65" s="19">
        <f>G65*1.2423</f>
        <v>887.52740000000006</v>
      </c>
      <c r="I65" s="18">
        <f>H65*F65</f>
        <v>5325.1644000000006</v>
      </c>
    </row>
    <row r="66" spans="1:9">
      <c r="A66" s="14" t="s">
        <v>188</v>
      </c>
      <c r="B66" s="28" t="s">
        <v>189</v>
      </c>
      <c r="C66" s="14" t="s">
        <v>537</v>
      </c>
      <c r="D66" s="15" t="s">
        <v>190</v>
      </c>
      <c r="E66" s="16" t="s">
        <v>29</v>
      </c>
      <c r="F66" s="17">
        <v>4</v>
      </c>
      <c r="G66" s="18">
        <v>296.20999999999998</v>
      </c>
      <c r="H66" s="19">
        <f>G66*1.2423</f>
        <v>367.98168299999998</v>
      </c>
      <c r="I66" s="18">
        <f>H66*F66</f>
        <v>1471.9267319999999</v>
      </c>
    </row>
    <row r="67" spans="1:9">
      <c r="A67" s="14" t="s">
        <v>191</v>
      </c>
      <c r="B67" s="28" t="s">
        <v>192</v>
      </c>
      <c r="C67" s="14" t="s">
        <v>537</v>
      </c>
      <c r="D67" s="15" t="s">
        <v>193</v>
      </c>
      <c r="E67" s="16" t="s">
        <v>29</v>
      </c>
      <c r="F67" s="17">
        <v>4</v>
      </c>
      <c r="G67" s="18">
        <v>419.87</v>
      </c>
      <c r="H67" s="19">
        <f>G67*1.2423</f>
        <v>521.60450100000003</v>
      </c>
      <c r="I67" s="18">
        <f>H67*F67</f>
        <v>2086.4180040000001</v>
      </c>
    </row>
    <row r="68" spans="1:9" s="26" customFormat="1">
      <c r="A68" s="14" t="s">
        <v>527</v>
      </c>
      <c r="B68" s="28" t="s">
        <v>530</v>
      </c>
      <c r="C68" s="14" t="s">
        <v>18</v>
      </c>
      <c r="D68" s="15" t="s">
        <v>531</v>
      </c>
      <c r="E68" s="16" t="s">
        <v>51</v>
      </c>
      <c r="F68" s="17">
        <v>35</v>
      </c>
      <c r="G68" s="18">
        <v>47.88</v>
      </c>
      <c r="H68" s="19">
        <f>G68*1.2423</f>
        <v>59.481324000000001</v>
      </c>
      <c r="I68" s="18">
        <f>H68*F68</f>
        <v>2081.8463400000001</v>
      </c>
    </row>
    <row r="69" spans="1:9">
      <c r="A69" s="24" t="s">
        <v>194</v>
      </c>
      <c r="B69" s="10"/>
      <c r="C69" s="10"/>
      <c r="D69" s="11" t="s">
        <v>195</v>
      </c>
      <c r="E69" s="10"/>
      <c r="F69" s="21"/>
      <c r="G69" s="22"/>
      <c r="H69" s="22"/>
      <c r="I69" s="23">
        <f>SUM(I70:I124)</f>
        <v>624640.05948036013</v>
      </c>
    </row>
    <row r="70" spans="1:9" ht="25.5">
      <c r="A70" s="14" t="s">
        <v>196</v>
      </c>
      <c r="B70" s="28" t="s">
        <v>197</v>
      </c>
      <c r="C70" s="14" t="s">
        <v>18</v>
      </c>
      <c r="D70" s="15" t="s">
        <v>198</v>
      </c>
      <c r="E70" s="16" t="s">
        <v>51</v>
      </c>
      <c r="F70" s="17">
        <v>12</v>
      </c>
      <c r="G70" s="18">
        <f>72.78/1.23</f>
        <v>59.170731707317074</v>
      </c>
      <c r="H70" s="19">
        <f>G70*1.2423</f>
        <v>73.507800000000003</v>
      </c>
      <c r="I70" s="18">
        <f>H70*F70</f>
        <v>882.09360000000004</v>
      </c>
    </row>
    <row r="71" spans="1:9" s="26" customFormat="1" ht="25.5">
      <c r="A71" s="14" t="s">
        <v>199</v>
      </c>
      <c r="B71" s="28" t="s">
        <v>200</v>
      </c>
      <c r="C71" s="14" t="s">
        <v>18</v>
      </c>
      <c r="D71" s="15" t="s">
        <v>201</v>
      </c>
      <c r="E71" s="16" t="s">
        <v>51</v>
      </c>
      <c r="F71" s="17">
        <v>108</v>
      </c>
      <c r="G71" s="18">
        <f>4.85/1.23</f>
        <v>3.9430894308943087</v>
      </c>
      <c r="H71" s="19">
        <f>G71*1.2423</f>
        <v>4.8984999999999994</v>
      </c>
      <c r="I71" s="18">
        <f>H71*F71</f>
        <v>529.0379999999999</v>
      </c>
    </row>
    <row r="72" spans="1:9" s="26" customFormat="1">
      <c r="A72" s="14" t="s">
        <v>202</v>
      </c>
      <c r="B72" s="28" t="s">
        <v>203</v>
      </c>
      <c r="C72" s="14" t="s">
        <v>18</v>
      </c>
      <c r="D72" s="15" t="s">
        <v>204</v>
      </c>
      <c r="E72" s="16" t="s">
        <v>58</v>
      </c>
      <c r="F72" s="17">
        <v>4982.2</v>
      </c>
      <c r="G72" s="18">
        <f>2.42/1.23</f>
        <v>1.967479674796748</v>
      </c>
      <c r="H72" s="19">
        <f>G72*1.2423</f>
        <v>2.4441999999999999</v>
      </c>
      <c r="I72" s="18">
        <f>H72*F72</f>
        <v>12177.49324</v>
      </c>
    </row>
    <row r="73" spans="1:9" s="26" customFormat="1">
      <c r="A73" s="14" t="s">
        <v>205</v>
      </c>
      <c r="B73" s="28" t="s">
        <v>206</v>
      </c>
      <c r="C73" s="14" t="s">
        <v>18</v>
      </c>
      <c r="D73" s="15" t="s">
        <v>207</v>
      </c>
      <c r="E73" s="16" t="s">
        <v>58</v>
      </c>
      <c r="F73" s="17">
        <v>1158.75</v>
      </c>
      <c r="G73" s="18">
        <f>24.26/1.23</f>
        <v>19.72357723577236</v>
      </c>
      <c r="H73" s="19">
        <f>G73*1.2423</f>
        <v>24.502600000000001</v>
      </c>
      <c r="I73" s="18">
        <f>H73*F73</f>
        <v>28392.387750000002</v>
      </c>
    </row>
    <row r="74" spans="1:9" s="26" customFormat="1">
      <c r="A74" s="14" t="s">
        <v>208</v>
      </c>
      <c r="B74" s="28" t="s">
        <v>209</v>
      </c>
      <c r="C74" s="14" t="s">
        <v>18</v>
      </c>
      <c r="D74" s="15" t="s">
        <v>210</v>
      </c>
      <c r="E74" s="16" t="s">
        <v>58</v>
      </c>
      <c r="F74" s="17">
        <v>986.85</v>
      </c>
      <c r="G74" s="18">
        <f>12.13/1.23</f>
        <v>9.8617886178861802</v>
      </c>
      <c r="H74" s="19">
        <f>G74*1.2423</f>
        <v>12.251300000000001</v>
      </c>
      <c r="I74" s="18">
        <f>H74*F74</f>
        <v>12090.195405</v>
      </c>
    </row>
    <row r="75" spans="1:9" s="26" customFormat="1" ht="25.5">
      <c r="A75" s="14" t="s">
        <v>211</v>
      </c>
      <c r="B75" s="28" t="s">
        <v>212</v>
      </c>
      <c r="C75" s="14" t="s">
        <v>18</v>
      </c>
      <c r="D75" s="15" t="s">
        <v>213</v>
      </c>
      <c r="E75" s="16" t="s">
        <v>51</v>
      </c>
      <c r="F75" s="17">
        <v>112</v>
      </c>
      <c r="G75" s="18">
        <f>19.4/1.23</f>
        <v>15.772357723577235</v>
      </c>
      <c r="H75" s="19">
        <f>G75*1.2423</f>
        <v>19.593999999999998</v>
      </c>
      <c r="I75" s="18">
        <f>H75*F75</f>
        <v>2194.5279999999998</v>
      </c>
    </row>
    <row r="76" spans="1:9" s="26" customFormat="1">
      <c r="A76" s="14" t="s">
        <v>214</v>
      </c>
      <c r="B76" s="28" t="s">
        <v>215</v>
      </c>
      <c r="C76" s="14" t="s">
        <v>18</v>
      </c>
      <c r="D76" s="15" t="s">
        <v>216</v>
      </c>
      <c r="E76" s="16" t="s">
        <v>51</v>
      </c>
      <c r="F76" s="17">
        <v>6</v>
      </c>
      <c r="G76" s="18">
        <f>562.73/1.23</f>
        <v>457.5040650406504</v>
      </c>
      <c r="H76" s="19">
        <f>G76*1.2423</f>
        <v>568.35730000000001</v>
      </c>
      <c r="I76" s="18">
        <f>H76*F76</f>
        <v>3410.1437999999998</v>
      </c>
    </row>
    <row r="77" spans="1:9" s="26" customFormat="1">
      <c r="A77" s="14" t="s">
        <v>217</v>
      </c>
      <c r="B77" s="28" t="s">
        <v>218</v>
      </c>
      <c r="C77" s="14" t="s">
        <v>18</v>
      </c>
      <c r="D77" s="15" t="s">
        <v>219</v>
      </c>
      <c r="E77" s="16" t="s">
        <v>58</v>
      </c>
      <c r="F77" s="17">
        <v>2935.6</v>
      </c>
      <c r="G77" s="18">
        <f>73.76/1.23</f>
        <v>59.967479674796756</v>
      </c>
      <c r="H77" s="19">
        <f>G77*1.2423</f>
        <v>74.497600000000006</v>
      </c>
      <c r="I77" s="18">
        <f>H77*F77</f>
        <v>218695.15456</v>
      </c>
    </row>
    <row r="78" spans="1:9" s="26" customFormat="1" ht="25.5">
      <c r="A78" s="14" t="s">
        <v>220</v>
      </c>
      <c r="B78" s="28" t="s">
        <v>221</v>
      </c>
      <c r="C78" s="14" t="s">
        <v>18</v>
      </c>
      <c r="D78" s="15" t="s">
        <v>222</v>
      </c>
      <c r="E78" s="16" t="s">
        <v>58</v>
      </c>
      <c r="F78" s="17">
        <v>8</v>
      </c>
      <c r="G78" s="18">
        <f>88.66/1.23</f>
        <v>72.081300813008127</v>
      </c>
      <c r="H78" s="19">
        <f>G78*1.2423</f>
        <v>89.546599999999998</v>
      </c>
      <c r="I78" s="18">
        <f>H78*F78</f>
        <v>716.37279999999998</v>
      </c>
    </row>
    <row r="79" spans="1:9" ht="25.5">
      <c r="A79" s="14" t="s">
        <v>223</v>
      </c>
      <c r="B79" s="28" t="s">
        <v>224</v>
      </c>
      <c r="C79" s="14" t="s">
        <v>18</v>
      </c>
      <c r="D79" s="15" t="s">
        <v>225</v>
      </c>
      <c r="E79" s="16" t="s">
        <v>51</v>
      </c>
      <c r="F79" s="17">
        <v>46</v>
      </c>
      <c r="G79" s="18">
        <f>238.82/1.23</f>
        <v>194.16260162601625</v>
      </c>
      <c r="H79" s="19">
        <f>G79*1.2423</f>
        <v>241.20819999999998</v>
      </c>
      <c r="I79" s="18">
        <f>H79*F79</f>
        <v>11095.5772</v>
      </c>
    </row>
    <row r="80" spans="1:9" ht="25.5">
      <c r="A80" s="14" t="s">
        <v>226</v>
      </c>
      <c r="B80" s="28" t="s">
        <v>227</v>
      </c>
      <c r="C80" s="14" t="s">
        <v>18</v>
      </c>
      <c r="D80" s="15" t="s">
        <v>228</v>
      </c>
      <c r="E80" s="16" t="s">
        <v>51</v>
      </c>
      <c r="F80" s="17">
        <v>131</v>
      </c>
      <c r="G80" s="18">
        <f>394.81/1.23</f>
        <v>320.98373983739839</v>
      </c>
      <c r="H80" s="19">
        <f>G80*1.2423</f>
        <v>398.75810000000001</v>
      </c>
      <c r="I80" s="18">
        <f>H80*F80</f>
        <v>52237.311099999999</v>
      </c>
    </row>
    <row r="81" spans="1:9" ht="38.25">
      <c r="A81" s="14" t="s">
        <v>229</v>
      </c>
      <c r="B81" s="28" t="s">
        <v>230</v>
      </c>
      <c r="C81" s="14" t="s">
        <v>23</v>
      </c>
      <c r="D81" s="15" t="s">
        <v>231</v>
      </c>
      <c r="E81" s="16" t="s">
        <v>51</v>
      </c>
      <c r="F81" s="17">
        <v>30</v>
      </c>
      <c r="G81" s="18">
        <v>310.14</v>
      </c>
      <c r="H81" s="19">
        <f>G81*1.2423</f>
        <v>385.28692199999995</v>
      </c>
      <c r="I81" s="18">
        <f>H81*F81</f>
        <v>11558.607659999998</v>
      </c>
    </row>
    <row r="82" spans="1:9" ht="25.5">
      <c r="A82" s="14" t="s">
        <v>232</v>
      </c>
      <c r="B82" s="28" t="s">
        <v>233</v>
      </c>
      <c r="C82" s="14" t="s">
        <v>537</v>
      </c>
      <c r="D82" s="15" t="s">
        <v>234</v>
      </c>
      <c r="E82" s="16" t="s">
        <v>77</v>
      </c>
      <c r="F82" s="17">
        <v>57</v>
      </c>
      <c r="G82" s="18">
        <v>70.599999999999994</v>
      </c>
      <c r="H82" s="19">
        <f>G82*1.2423</f>
        <v>87.706379999999996</v>
      </c>
      <c r="I82" s="18">
        <f>H82*F82</f>
        <v>4999.2636599999996</v>
      </c>
    </row>
    <row r="83" spans="1:9">
      <c r="A83" s="14" t="s">
        <v>235</v>
      </c>
      <c r="B83" s="28" t="s">
        <v>236</v>
      </c>
      <c r="C83" s="14" t="s">
        <v>537</v>
      </c>
      <c r="D83" s="15" t="s">
        <v>237</v>
      </c>
      <c r="E83" s="16" t="s">
        <v>29</v>
      </c>
      <c r="F83" s="17">
        <v>4</v>
      </c>
      <c r="G83" s="18">
        <v>163.74</v>
      </c>
      <c r="H83" s="19">
        <f>G83*1.2423</f>
        <v>203.41420200000002</v>
      </c>
      <c r="I83" s="18">
        <f>H83*F83</f>
        <v>813.65680800000007</v>
      </c>
    </row>
    <row r="84" spans="1:9">
      <c r="A84" s="14" t="s">
        <v>238</v>
      </c>
      <c r="B84" s="28" t="s">
        <v>239</v>
      </c>
      <c r="C84" s="14" t="s">
        <v>537</v>
      </c>
      <c r="D84" s="15" t="s">
        <v>240</v>
      </c>
      <c r="E84" s="16" t="s">
        <v>241</v>
      </c>
      <c r="F84" s="17">
        <v>1</v>
      </c>
      <c r="G84" s="18">
        <v>497.19</v>
      </c>
      <c r="H84" s="19">
        <f>G84*1.2423</f>
        <v>617.65913699999999</v>
      </c>
      <c r="I84" s="18">
        <f>H84*F84</f>
        <v>617.65913699999999</v>
      </c>
    </row>
    <row r="85" spans="1:9">
      <c r="A85" s="14" t="s">
        <v>242</v>
      </c>
      <c r="B85" s="28" t="s">
        <v>243</v>
      </c>
      <c r="C85" s="14" t="s">
        <v>537</v>
      </c>
      <c r="D85" s="15" t="s">
        <v>244</v>
      </c>
      <c r="E85" s="16" t="s">
        <v>29</v>
      </c>
      <c r="F85" s="17">
        <v>1</v>
      </c>
      <c r="G85" s="18">
        <v>907.89</v>
      </c>
      <c r="H85" s="19">
        <f>G85*1.2423</f>
        <v>1127.8717469999999</v>
      </c>
      <c r="I85" s="18">
        <f>H85*F85</f>
        <v>1127.8717469999999</v>
      </c>
    </row>
    <row r="86" spans="1:9" ht="25.5">
      <c r="A86" s="14" t="s">
        <v>245</v>
      </c>
      <c r="B86" s="28" t="s">
        <v>246</v>
      </c>
      <c r="C86" s="14" t="s">
        <v>537</v>
      </c>
      <c r="D86" s="15" t="s">
        <v>247</v>
      </c>
      <c r="E86" s="16" t="s">
        <v>29</v>
      </c>
      <c r="F86" s="17">
        <v>3</v>
      </c>
      <c r="G86" s="18">
        <v>1175.72</v>
      </c>
      <c r="H86" s="19">
        <f>G86*1.2423</f>
        <v>1460.5969560000001</v>
      </c>
      <c r="I86" s="18">
        <f>H86*F86</f>
        <v>4381.790868</v>
      </c>
    </row>
    <row r="87" spans="1:9">
      <c r="A87" s="14" t="s">
        <v>248</v>
      </c>
      <c r="B87" s="28" t="s">
        <v>249</v>
      </c>
      <c r="C87" s="14" t="s">
        <v>537</v>
      </c>
      <c r="D87" s="15" t="s">
        <v>250</v>
      </c>
      <c r="E87" s="16" t="s">
        <v>29</v>
      </c>
      <c r="F87" s="17">
        <v>108</v>
      </c>
      <c r="G87" s="18">
        <v>158.16999999999999</v>
      </c>
      <c r="H87" s="19">
        <f>G87*1.2423</f>
        <v>196.49459099999999</v>
      </c>
      <c r="I87" s="18">
        <f>H87*F87</f>
        <v>21221.415827999997</v>
      </c>
    </row>
    <row r="88" spans="1:9">
      <c r="A88" s="14" t="s">
        <v>251</v>
      </c>
      <c r="B88" s="28" t="s">
        <v>252</v>
      </c>
      <c r="C88" s="14" t="s">
        <v>537</v>
      </c>
      <c r="D88" s="15" t="s">
        <v>253</v>
      </c>
      <c r="E88" s="16" t="s">
        <v>29</v>
      </c>
      <c r="F88" s="17">
        <v>6</v>
      </c>
      <c r="G88" s="18">
        <v>314.68</v>
      </c>
      <c r="H88" s="19">
        <f>G88*1.2423</f>
        <v>390.926964</v>
      </c>
      <c r="I88" s="18">
        <f>H88*F88</f>
        <v>2345.561784</v>
      </c>
    </row>
    <row r="89" spans="1:9">
      <c r="A89" s="14" t="s">
        <v>254</v>
      </c>
      <c r="B89" s="28" t="s">
        <v>255</v>
      </c>
      <c r="C89" s="14" t="s">
        <v>537</v>
      </c>
      <c r="D89" s="15" t="s">
        <v>256</v>
      </c>
      <c r="E89" s="16" t="s">
        <v>77</v>
      </c>
      <c r="F89" s="17">
        <v>98</v>
      </c>
      <c r="G89" s="18">
        <v>46.36</v>
      </c>
      <c r="H89" s="19">
        <f>G89*1.2423</f>
        <v>57.593027999999997</v>
      </c>
      <c r="I89" s="18">
        <f>H89*F89</f>
        <v>5644.1167439999999</v>
      </c>
    </row>
    <row r="90" spans="1:9">
      <c r="A90" s="14" t="s">
        <v>257</v>
      </c>
      <c r="B90" s="28" t="s">
        <v>258</v>
      </c>
      <c r="C90" s="14" t="s">
        <v>537</v>
      </c>
      <c r="D90" s="15" t="s">
        <v>259</v>
      </c>
      <c r="E90" s="16" t="s">
        <v>77</v>
      </c>
      <c r="F90" s="17">
        <v>6352.4</v>
      </c>
      <c r="G90" s="18">
        <v>5</v>
      </c>
      <c r="H90" s="19">
        <f>G90*1.2423</f>
        <v>6.2115</v>
      </c>
      <c r="I90" s="18">
        <f>H90*F90</f>
        <v>39457.9326</v>
      </c>
    </row>
    <row r="91" spans="1:9">
      <c r="A91" s="14" t="s">
        <v>260</v>
      </c>
      <c r="B91" s="28" t="s">
        <v>261</v>
      </c>
      <c r="C91" s="14" t="s">
        <v>537</v>
      </c>
      <c r="D91" s="15" t="s">
        <v>262</v>
      </c>
      <c r="E91" s="16" t="s">
        <v>77</v>
      </c>
      <c r="F91" s="17">
        <v>2358</v>
      </c>
      <c r="G91" s="18">
        <v>6.89</v>
      </c>
      <c r="H91" s="19">
        <f>G91*1.2423</f>
        <v>8.5594469999999987</v>
      </c>
      <c r="I91" s="18">
        <f>H91*F91</f>
        <v>20183.176025999997</v>
      </c>
    </row>
    <row r="92" spans="1:9">
      <c r="A92" s="14" t="s">
        <v>263</v>
      </c>
      <c r="B92" s="28" t="s">
        <v>264</v>
      </c>
      <c r="C92" s="14" t="s">
        <v>537</v>
      </c>
      <c r="D92" s="15" t="s">
        <v>265</v>
      </c>
      <c r="E92" s="16" t="s">
        <v>77</v>
      </c>
      <c r="F92" s="17">
        <v>110.44</v>
      </c>
      <c r="G92" s="18">
        <v>9.5299999999999994</v>
      </c>
      <c r="H92" s="19">
        <f>G92*1.2423</f>
        <v>11.839118999999998</v>
      </c>
      <c r="I92" s="18">
        <f>H92*F92</f>
        <v>1307.5123023599997</v>
      </c>
    </row>
    <row r="93" spans="1:9">
      <c r="A93" s="14" t="s">
        <v>266</v>
      </c>
      <c r="B93" s="28" t="s">
        <v>267</v>
      </c>
      <c r="C93" s="14" t="s">
        <v>537</v>
      </c>
      <c r="D93" s="15" t="s">
        <v>268</v>
      </c>
      <c r="E93" s="16" t="s">
        <v>77</v>
      </c>
      <c r="F93" s="17">
        <v>1242</v>
      </c>
      <c r="G93" s="18">
        <v>13.99</v>
      </c>
      <c r="H93" s="19">
        <f>G93*1.2423</f>
        <v>17.379777000000001</v>
      </c>
      <c r="I93" s="18">
        <f>H93*F93</f>
        <v>21585.683034000001</v>
      </c>
    </row>
    <row r="94" spans="1:9">
      <c r="A94" s="14" t="s">
        <v>269</v>
      </c>
      <c r="B94" s="28" t="s">
        <v>270</v>
      </c>
      <c r="C94" s="14" t="s">
        <v>537</v>
      </c>
      <c r="D94" s="15" t="s">
        <v>271</v>
      </c>
      <c r="E94" s="16" t="s">
        <v>77</v>
      </c>
      <c r="F94" s="17">
        <v>231.8</v>
      </c>
      <c r="G94" s="18">
        <v>18.84</v>
      </c>
      <c r="H94" s="19">
        <f>G94*1.2423</f>
        <v>23.404931999999999</v>
      </c>
      <c r="I94" s="18">
        <f>H94*F94</f>
        <v>5425.2632376000001</v>
      </c>
    </row>
    <row r="95" spans="1:9" ht="25.5">
      <c r="A95" s="14" t="s">
        <v>272</v>
      </c>
      <c r="B95" s="28" t="s">
        <v>273</v>
      </c>
      <c r="C95" s="14" t="s">
        <v>537</v>
      </c>
      <c r="D95" s="15" t="s">
        <v>274</v>
      </c>
      <c r="E95" s="16" t="s">
        <v>77</v>
      </c>
      <c r="F95" s="17">
        <v>434.5</v>
      </c>
      <c r="G95" s="18">
        <v>43.42</v>
      </c>
      <c r="H95" s="19">
        <f>G95*1.2423</f>
        <v>53.940666</v>
      </c>
      <c r="I95" s="18">
        <f>H95*F95</f>
        <v>23437.219377000001</v>
      </c>
    </row>
    <row r="96" spans="1:9">
      <c r="A96" s="14" t="s">
        <v>275</v>
      </c>
      <c r="B96" s="28" t="s">
        <v>276</v>
      </c>
      <c r="C96" s="14" t="s">
        <v>537</v>
      </c>
      <c r="D96" s="15" t="s">
        <v>277</v>
      </c>
      <c r="E96" s="16" t="s">
        <v>77</v>
      </c>
      <c r="F96" s="17">
        <v>145.6</v>
      </c>
      <c r="G96" s="18">
        <v>119.74</v>
      </c>
      <c r="H96" s="19">
        <f>G96*1.2423</f>
        <v>148.75300199999998</v>
      </c>
      <c r="I96" s="18">
        <f>H96*F96</f>
        <v>21658.437091199998</v>
      </c>
    </row>
    <row r="97" spans="1:9">
      <c r="A97" s="14" t="s">
        <v>278</v>
      </c>
      <c r="B97" s="28" t="s">
        <v>279</v>
      </c>
      <c r="C97" s="14" t="s">
        <v>537</v>
      </c>
      <c r="D97" s="15" t="s">
        <v>280</v>
      </c>
      <c r="E97" s="16" t="s">
        <v>29</v>
      </c>
      <c r="F97" s="17">
        <v>8</v>
      </c>
      <c r="G97" s="18">
        <v>36.26</v>
      </c>
      <c r="H97" s="19">
        <f>G97*1.2423</f>
        <v>45.045797999999998</v>
      </c>
      <c r="I97" s="18">
        <f>H97*F97</f>
        <v>360.36638399999998</v>
      </c>
    </row>
    <row r="98" spans="1:9">
      <c r="A98" s="14" t="s">
        <v>281</v>
      </c>
      <c r="B98" s="28" t="s">
        <v>282</v>
      </c>
      <c r="C98" s="14" t="s">
        <v>537</v>
      </c>
      <c r="D98" s="15" t="s">
        <v>283</v>
      </c>
      <c r="E98" s="16" t="s">
        <v>241</v>
      </c>
      <c r="F98" s="17">
        <v>135</v>
      </c>
      <c r="G98" s="18">
        <v>34.15</v>
      </c>
      <c r="H98" s="19">
        <f>G98*1.2423</f>
        <v>42.424544999999995</v>
      </c>
      <c r="I98" s="18">
        <f>H98*F98</f>
        <v>5727.3135749999992</v>
      </c>
    </row>
    <row r="99" spans="1:9">
      <c r="A99" s="14" t="s">
        <v>284</v>
      </c>
      <c r="B99" s="28" t="s">
        <v>285</v>
      </c>
      <c r="C99" s="14" t="s">
        <v>537</v>
      </c>
      <c r="D99" s="15" t="s">
        <v>286</v>
      </c>
      <c r="E99" s="16" t="s">
        <v>241</v>
      </c>
      <c r="F99" s="17">
        <v>34</v>
      </c>
      <c r="G99" s="18">
        <v>32.79</v>
      </c>
      <c r="H99" s="19">
        <f>G99*1.2423</f>
        <v>40.735016999999999</v>
      </c>
      <c r="I99" s="18">
        <f>H99*F99</f>
        <v>1384.9905779999999</v>
      </c>
    </row>
    <row r="100" spans="1:9">
      <c r="A100" s="14" t="s">
        <v>287</v>
      </c>
      <c r="B100" s="28" t="s">
        <v>288</v>
      </c>
      <c r="C100" s="14" t="s">
        <v>537</v>
      </c>
      <c r="D100" s="15" t="s">
        <v>289</v>
      </c>
      <c r="E100" s="16" t="s">
        <v>241</v>
      </c>
      <c r="F100" s="17">
        <v>11</v>
      </c>
      <c r="G100" s="18">
        <v>38.47</v>
      </c>
      <c r="H100" s="19">
        <f>G100*1.2423</f>
        <v>47.791280999999998</v>
      </c>
      <c r="I100" s="18">
        <f>H100*F100</f>
        <v>525.70409099999995</v>
      </c>
    </row>
    <row r="101" spans="1:9">
      <c r="A101" s="14" t="s">
        <v>290</v>
      </c>
      <c r="B101" s="28" t="s">
        <v>291</v>
      </c>
      <c r="C101" s="14" t="s">
        <v>537</v>
      </c>
      <c r="D101" s="15" t="s">
        <v>292</v>
      </c>
      <c r="E101" s="16" t="s">
        <v>29</v>
      </c>
      <c r="F101" s="17">
        <v>4</v>
      </c>
      <c r="G101" s="18">
        <v>28.46</v>
      </c>
      <c r="H101" s="19">
        <f>G101*1.2423</f>
        <v>35.355857999999998</v>
      </c>
      <c r="I101" s="18">
        <f>H101*F101</f>
        <v>141.42343199999999</v>
      </c>
    </row>
    <row r="102" spans="1:9">
      <c r="A102" s="14" t="s">
        <v>293</v>
      </c>
      <c r="B102" s="28" t="s">
        <v>294</v>
      </c>
      <c r="C102" s="14" t="s">
        <v>537</v>
      </c>
      <c r="D102" s="15" t="s">
        <v>295</v>
      </c>
      <c r="E102" s="16" t="s">
        <v>29</v>
      </c>
      <c r="F102" s="17">
        <v>29</v>
      </c>
      <c r="G102" s="18">
        <v>64.69</v>
      </c>
      <c r="H102" s="19">
        <f>G102*1.2423</f>
        <v>80.364386999999994</v>
      </c>
      <c r="I102" s="18">
        <f>H102*F102</f>
        <v>2330.567223</v>
      </c>
    </row>
    <row r="103" spans="1:9">
      <c r="A103" s="14" t="s">
        <v>296</v>
      </c>
      <c r="B103" s="28" t="s">
        <v>297</v>
      </c>
      <c r="C103" s="14" t="s">
        <v>537</v>
      </c>
      <c r="D103" s="15" t="s">
        <v>298</v>
      </c>
      <c r="E103" s="16" t="s">
        <v>29</v>
      </c>
      <c r="F103" s="17">
        <v>155</v>
      </c>
      <c r="G103" s="18">
        <v>13.65</v>
      </c>
      <c r="H103" s="19">
        <f>G103*1.2423</f>
        <v>16.957394999999998</v>
      </c>
      <c r="I103" s="18">
        <f>H103*F103</f>
        <v>2628.3962249999995</v>
      </c>
    </row>
    <row r="104" spans="1:9">
      <c r="A104" s="14" t="s">
        <v>299</v>
      </c>
      <c r="B104" s="28" t="s">
        <v>300</v>
      </c>
      <c r="C104" s="14" t="s">
        <v>537</v>
      </c>
      <c r="D104" s="15" t="s">
        <v>301</v>
      </c>
      <c r="E104" s="16" t="s">
        <v>29</v>
      </c>
      <c r="F104" s="17">
        <v>16</v>
      </c>
      <c r="G104" s="18">
        <v>17.18</v>
      </c>
      <c r="H104" s="19">
        <f>G104*1.2423</f>
        <v>21.342713999999997</v>
      </c>
      <c r="I104" s="18">
        <f>H104*F104</f>
        <v>341.48342399999996</v>
      </c>
    </row>
    <row r="105" spans="1:9">
      <c r="A105" s="14" t="s">
        <v>302</v>
      </c>
      <c r="B105" s="28" t="s">
        <v>303</v>
      </c>
      <c r="C105" s="14" t="s">
        <v>537</v>
      </c>
      <c r="D105" s="15" t="s">
        <v>304</v>
      </c>
      <c r="E105" s="16" t="s">
        <v>29</v>
      </c>
      <c r="F105" s="17">
        <v>2</v>
      </c>
      <c r="G105" s="18">
        <v>87.19</v>
      </c>
      <c r="H105" s="19">
        <f>G105*1.2423</f>
        <v>108.316137</v>
      </c>
      <c r="I105" s="18">
        <f>H105*F105</f>
        <v>216.632274</v>
      </c>
    </row>
    <row r="106" spans="1:9">
      <c r="A106" s="14" t="s">
        <v>305</v>
      </c>
      <c r="B106" s="28" t="s">
        <v>306</v>
      </c>
      <c r="C106" s="14" t="s">
        <v>537</v>
      </c>
      <c r="D106" s="15" t="s">
        <v>307</v>
      </c>
      <c r="E106" s="16" t="s">
        <v>29</v>
      </c>
      <c r="F106" s="17">
        <v>20</v>
      </c>
      <c r="G106" s="18">
        <v>22.59</v>
      </c>
      <c r="H106" s="19">
        <f>G106*1.2423</f>
        <v>28.063556999999999</v>
      </c>
      <c r="I106" s="18">
        <f>H106*F106</f>
        <v>561.27113999999995</v>
      </c>
    </row>
    <row r="107" spans="1:9">
      <c r="A107" s="14" t="s">
        <v>308</v>
      </c>
      <c r="B107" s="28" t="s">
        <v>309</v>
      </c>
      <c r="C107" s="14" t="s">
        <v>537</v>
      </c>
      <c r="D107" s="15" t="s">
        <v>310</v>
      </c>
      <c r="E107" s="16" t="s">
        <v>29</v>
      </c>
      <c r="F107" s="17">
        <v>20</v>
      </c>
      <c r="G107" s="18">
        <v>22.98</v>
      </c>
      <c r="H107" s="19">
        <f>G107*1.2423</f>
        <v>28.548054</v>
      </c>
      <c r="I107" s="18">
        <f>H107*F107</f>
        <v>570.96108000000004</v>
      </c>
    </row>
    <row r="108" spans="1:9">
      <c r="A108" s="14" t="s">
        <v>311</v>
      </c>
      <c r="B108" s="28" t="s">
        <v>312</v>
      </c>
      <c r="C108" s="14" t="s">
        <v>537</v>
      </c>
      <c r="D108" s="15" t="s">
        <v>313</v>
      </c>
      <c r="E108" s="16" t="s">
        <v>29</v>
      </c>
      <c r="F108" s="17">
        <v>20</v>
      </c>
      <c r="G108" s="18">
        <v>28.13</v>
      </c>
      <c r="H108" s="19">
        <f>G108*1.2423</f>
        <v>34.945898999999997</v>
      </c>
      <c r="I108" s="18">
        <f>H108*F108</f>
        <v>698.91797999999994</v>
      </c>
    </row>
    <row r="109" spans="1:9">
      <c r="A109" s="14" t="s">
        <v>314</v>
      </c>
      <c r="B109" s="28" t="s">
        <v>315</v>
      </c>
      <c r="C109" s="14" t="s">
        <v>537</v>
      </c>
      <c r="D109" s="15" t="s">
        <v>316</v>
      </c>
      <c r="E109" s="16" t="s">
        <v>29</v>
      </c>
      <c r="F109" s="17">
        <v>20</v>
      </c>
      <c r="G109" s="18">
        <v>17.489999999999998</v>
      </c>
      <c r="H109" s="19">
        <f>G109*1.2423</f>
        <v>21.727826999999998</v>
      </c>
      <c r="I109" s="18">
        <f>H109*F109</f>
        <v>434.55653999999993</v>
      </c>
    </row>
    <row r="110" spans="1:9">
      <c r="A110" s="14" t="s">
        <v>317</v>
      </c>
      <c r="B110" s="28" t="s">
        <v>318</v>
      </c>
      <c r="C110" s="14" t="s">
        <v>537</v>
      </c>
      <c r="D110" s="15" t="s">
        <v>319</v>
      </c>
      <c r="E110" s="16" t="s">
        <v>29</v>
      </c>
      <c r="F110" s="17">
        <v>3</v>
      </c>
      <c r="G110" s="18">
        <v>9.2200000000000006</v>
      </c>
      <c r="H110" s="19">
        <f>G110*1.2423</f>
        <v>11.454006</v>
      </c>
      <c r="I110" s="18">
        <f>H110*F110</f>
        <v>34.362017999999999</v>
      </c>
    </row>
    <row r="111" spans="1:9">
      <c r="A111" s="14" t="s">
        <v>320</v>
      </c>
      <c r="B111" s="28" t="s">
        <v>321</v>
      </c>
      <c r="C111" s="14" t="s">
        <v>537</v>
      </c>
      <c r="D111" s="15" t="s">
        <v>322</v>
      </c>
      <c r="E111" s="16" t="s">
        <v>29</v>
      </c>
      <c r="F111" s="17">
        <v>10</v>
      </c>
      <c r="G111" s="18">
        <v>156.37</v>
      </c>
      <c r="H111" s="19">
        <f>G111*1.2423</f>
        <v>194.25845100000001</v>
      </c>
      <c r="I111" s="18">
        <f>H111*F111</f>
        <v>1942.5845100000001</v>
      </c>
    </row>
    <row r="112" spans="1:9" ht="25.5">
      <c r="A112" s="14" t="s">
        <v>323</v>
      </c>
      <c r="B112" s="28" t="s">
        <v>324</v>
      </c>
      <c r="C112" s="14" t="s">
        <v>537</v>
      </c>
      <c r="D112" s="15" t="s">
        <v>325</v>
      </c>
      <c r="E112" s="16" t="s">
        <v>77</v>
      </c>
      <c r="F112" s="17">
        <v>343.5</v>
      </c>
      <c r="G112" s="18">
        <v>36.69</v>
      </c>
      <c r="H112" s="19">
        <f>G112*1.2423</f>
        <v>45.579986999999996</v>
      </c>
      <c r="I112" s="18">
        <f>H112*F112</f>
        <v>15656.725534499998</v>
      </c>
    </row>
    <row r="113" spans="1:9">
      <c r="A113" s="14" t="s">
        <v>326</v>
      </c>
      <c r="B113" s="28" t="s">
        <v>327</v>
      </c>
      <c r="C113" s="14" t="s">
        <v>537</v>
      </c>
      <c r="D113" s="15" t="s">
        <v>328</v>
      </c>
      <c r="E113" s="16" t="s">
        <v>29</v>
      </c>
      <c r="F113" s="17">
        <v>10</v>
      </c>
      <c r="G113" s="18">
        <v>46.5</v>
      </c>
      <c r="H113" s="19">
        <f>G113*1.2423</f>
        <v>57.766950000000001</v>
      </c>
      <c r="I113" s="18">
        <f>H113*F113</f>
        <v>577.66949999999997</v>
      </c>
    </row>
    <row r="114" spans="1:9" ht="25.5">
      <c r="A114" s="14" t="s">
        <v>329</v>
      </c>
      <c r="B114" s="28" t="s">
        <v>330</v>
      </c>
      <c r="C114" s="14" t="s">
        <v>537</v>
      </c>
      <c r="D114" s="15" t="s">
        <v>331</v>
      </c>
      <c r="E114" s="16" t="s">
        <v>29</v>
      </c>
      <c r="F114" s="17">
        <v>55</v>
      </c>
      <c r="G114" s="18">
        <v>33.33</v>
      </c>
      <c r="H114" s="19">
        <f>G114*1.2423</f>
        <v>41.405859</v>
      </c>
      <c r="I114" s="18">
        <f>H114*F114</f>
        <v>2277.3222449999998</v>
      </c>
    </row>
    <row r="115" spans="1:9">
      <c r="A115" s="14" t="s">
        <v>332</v>
      </c>
      <c r="B115" s="28" t="s">
        <v>333</v>
      </c>
      <c r="C115" s="14" t="s">
        <v>537</v>
      </c>
      <c r="D115" s="15" t="s">
        <v>334</v>
      </c>
      <c r="E115" s="16" t="s">
        <v>77</v>
      </c>
      <c r="F115" s="17">
        <v>57</v>
      </c>
      <c r="G115" s="18">
        <v>54.72</v>
      </c>
      <c r="H115" s="19">
        <f>G115*1.2423</f>
        <v>67.978656000000001</v>
      </c>
      <c r="I115" s="18">
        <f>H115*F115</f>
        <v>3874.7833920000003</v>
      </c>
    </row>
    <row r="116" spans="1:9">
      <c r="A116" s="14" t="s">
        <v>335</v>
      </c>
      <c r="B116" s="28" t="s">
        <v>336</v>
      </c>
      <c r="C116" s="14" t="s">
        <v>537</v>
      </c>
      <c r="D116" s="15" t="s">
        <v>337</v>
      </c>
      <c r="E116" s="16" t="s">
        <v>29</v>
      </c>
      <c r="F116" s="17">
        <v>16</v>
      </c>
      <c r="G116" s="18">
        <v>17.93</v>
      </c>
      <c r="H116" s="19">
        <f>G116*1.2423</f>
        <v>22.274438999999997</v>
      </c>
      <c r="I116" s="18">
        <f>H116*F116</f>
        <v>356.39102399999996</v>
      </c>
    </row>
    <row r="117" spans="1:9" ht="25.5">
      <c r="A117" s="14" t="s">
        <v>338</v>
      </c>
      <c r="B117" s="28" t="s">
        <v>339</v>
      </c>
      <c r="C117" s="14" t="s">
        <v>537</v>
      </c>
      <c r="D117" s="15" t="s">
        <v>340</v>
      </c>
      <c r="E117" s="16" t="s">
        <v>77</v>
      </c>
      <c r="F117" s="17">
        <v>63.5</v>
      </c>
      <c r="G117" s="18">
        <v>33.130000000000003</v>
      </c>
      <c r="H117" s="19">
        <f>G117*1.2423</f>
        <v>41.157399000000005</v>
      </c>
      <c r="I117" s="18">
        <f>H117*F117</f>
        <v>2613.4948365000005</v>
      </c>
    </row>
    <row r="118" spans="1:9">
      <c r="A118" s="14" t="s">
        <v>341</v>
      </c>
      <c r="B118" s="28" t="s">
        <v>342</v>
      </c>
      <c r="C118" s="14" t="s">
        <v>537</v>
      </c>
      <c r="D118" s="15" t="s">
        <v>343</v>
      </c>
      <c r="E118" s="16" t="s">
        <v>77</v>
      </c>
      <c r="F118" s="17">
        <v>145.6</v>
      </c>
      <c r="G118" s="18">
        <v>25.75</v>
      </c>
      <c r="H118" s="19">
        <f>G118*1.2423</f>
        <v>31.989224999999998</v>
      </c>
      <c r="I118" s="18">
        <f>H118*F118</f>
        <v>4657.6311599999999</v>
      </c>
    </row>
    <row r="119" spans="1:9" ht="25.5">
      <c r="A119" s="14" t="s">
        <v>344</v>
      </c>
      <c r="B119" s="28" t="s">
        <v>345</v>
      </c>
      <c r="C119" s="14" t="s">
        <v>537</v>
      </c>
      <c r="D119" s="15" t="s">
        <v>346</v>
      </c>
      <c r="E119" s="16" t="s">
        <v>29</v>
      </c>
      <c r="F119" s="17">
        <v>56</v>
      </c>
      <c r="G119" s="18">
        <v>152.78</v>
      </c>
      <c r="H119" s="19">
        <f>G119*1.2423</f>
        <v>189.79859400000001</v>
      </c>
      <c r="I119" s="18">
        <f>H119*F119</f>
        <v>10628.721264</v>
      </c>
    </row>
    <row r="120" spans="1:9">
      <c r="A120" s="14" t="s">
        <v>347</v>
      </c>
      <c r="B120" s="28" t="s">
        <v>348</v>
      </c>
      <c r="C120" s="14" t="s">
        <v>537</v>
      </c>
      <c r="D120" s="15" t="s">
        <v>349</v>
      </c>
      <c r="E120" s="16" t="s">
        <v>241</v>
      </c>
      <c r="F120" s="17">
        <v>4</v>
      </c>
      <c r="G120" s="18">
        <v>6520.95</v>
      </c>
      <c r="H120" s="19">
        <f>G120*1.2423</f>
        <v>8100.9761849999995</v>
      </c>
      <c r="I120" s="18">
        <f>H120*F120</f>
        <v>32403.904739999998</v>
      </c>
    </row>
    <row r="121" spans="1:9" ht="25.5">
      <c r="A121" s="14" t="s">
        <v>350</v>
      </c>
      <c r="B121" s="28" t="s">
        <v>351</v>
      </c>
      <c r="C121" s="14" t="s">
        <v>537</v>
      </c>
      <c r="D121" s="15" t="s">
        <v>352</v>
      </c>
      <c r="E121" s="16" t="s">
        <v>29</v>
      </c>
      <c r="F121" s="17">
        <v>4</v>
      </c>
      <c r="G121" s="18">
        <v>37.96</v>
      </c>
      <c r="H121" s="19">
        <f>G121*1.2423</f>
        <v>47.157708</v>
      </c>
      <c r="I121" s="18">
        <f>H121*F121</f>
        <v>188.630832</v>
      </c>
    </row>
    <row r="122" spans="1:9">
      <c r="A122" s="14" t="s">
        <v>353</v>
      </c>
      <c r="B122" s="28" t="s">
        <v>354</v>
      </c>
      <c r="C122" s="14" t="s">
        <v>537</v>
      </c>
      <c r="D122" s="15" t="s">
        <v>355</v>
      </c>
      <c r="E122" s="16" t="s">
        <v>77</v>
      </c>
      <c r="F122" s="17">
        <v>34</v>
      </c>
      <c r="G122" s="18">
        <v>29.4</v>
      </c>
      <c r="H122" s="19">
        <f>G122*1.2423</f>
        <v>36.523619999999994</v>
      </c>
      <c r="I122" s="18">
        <f>H122*F122</f>
        <v>1241.8030799999997</v>
      </c>
    </row>
    <row r="123" spans="1:9">
      <c r="A123" s="14" t="s">
        <v>356</v>
      </c>
      <c r="B123" s="28" t="s">
        <v>357</v>
      </c>
      <c r="C123" s="14" t="s">
        <v>537</v>
      </c>
      <c r="D123" s="15" t="s">
        <v>358</v>
      </c>
      <c r="E123" s="16" t="s">
        <v>77</v>
      </c>
      <c r="F123" s="17">
        <v>104.6</v>
      </c>
      <c r="G123" s="18">
        <v>23.24</v>
      </c>
      <c r="H123" s="19">
        <f>G123*1.2423</f>
        <v>28.871051999999999</v>
      </c>
      <c r="I123" s="18">
        <f>H123*F123</f>
        <v>3019.9120391999995</v>
      </c>
    </row>
    <row r="124" spans="1:9">
      <c r="A124" s="14" t="s">
        <v>359</v>
      </c>
      <c r="B124" s="28" t="s">
        <v>360</v>
      </c>
      <c r="C124" s="14" t="s">
        <v>18</v>
      </c>
      <c r="D124" s="15" t="s">
        <v>361</v>
      </c>
      <c r="E124" s="16" t="s">
        <v>51</v>
      </c>
      <c r="F124" s="17">
        <v>3</v>
      </c>
      <c r="G124" s="18">
        <f>349.2/1.23</f>
        <v>283.90243902439022</v>
      </c>
      <c r="H124" s="19">
        <f>G124*1.2423</f>
        <v>352.69199999999995</v>
      </c>
      <c r="I124" s="18">
        <f>H124*F124</f>
        <v>1058.0759999999998</v>
      </c>
    </row>
    <row r="125" spans="1:9">
      <c r="A125" s="24" t="s">
        <v>362</v>
      </c>
      <c r="B125" s="10"/>
      <c r="C125" s="10"/>
      <c r="D125" s="11" t="s">
        <v>363</v>
      </c>
      <c r="E125" s="10"/>
      <c r="F125" s="21"/>
      <c r="G125" s="22"/>
      <c r="H125" s="22"/>
      <c r="I125" s="23">
        <f>SUM(I126:I134)</f>
        <v>1300707.1344105101</v>
      </c>
    </row>
    <row r="126" spans="1:9" ht="38.25">
      <c r="A126" s="14" t="s">
        <v>364</v>
      </c>
      <c r="B126" s="28" t="s">
        <v>365</v>
      </c>
      <c r="C126" s="14" t="s">
        <v>150</v>
      </c>
      <c r="D126" s="15" t="s">
        <v>366</v>
      </c>
      <c r="E126" s="16" t="s">
        <v>29</v>
      </c>
      <c r="F126" s="17">
        <v>1587</v>
      </c>
      <c r="G126" s="18">
        <v>238</v>
      </c>
      <c r="H126" s="18">
        <f>G126*1.2423</f>
        <v>295.66739999999999</v>
      </c>
      <c r="I126" s="18">
        <f>H126*F126</f>
        <v>469224.16379999998</v>
      </c>
    </row>
    <row r="127" spans="1:9" ht="25.5">
      <c r="A127" s="14" t="s">
        <v>367</v>
      </c>
      <c r="B127" s="28" t="s">
        <v>368</v>
      </c>
      <c r="C127" s="14" t="s">
        <v>150</v>
      </c>
      <c r="D127" s="15" t="s">
        <v>369</v>
      </c>
      <c r="E127" s="16" t="s">
        <v>20</v>
      </c>
      <c r="F127" s="17">
        <v>873.65</v>
      </c>
      <c r="G127" s="18">
        <v>45.67</v>
      </c>
      <c r="H127" s="18">
        <f>G127*1.2423</f>
        <v>56.735841000000001</v>
      </c>
      <c r="I127" s="18">
        <f>H127*F127</f>
        <v>49567.267489649996</v>
      </c>
    </row>
    <row r="128" spans="1:9" ht="25.5">
      <c r="A128" s="14" t="s">
        <v>370</v>
      </c>
      <c r="B128" s="28" t="s">
        <v>371</v>
      </c>
      <c r="C128" s="14" t="s">
        <v>537</v>
      </c>
      <c r="D128" s="15" t="s">
        <v>372</v>
      </c>
      <c r="E128" s="16" t="s">
        <v>20</v>
      </c>
      <c r="F128" s="17">
        <v>795.09</v>
      </c>
      <c r="G128" s="18">
        <v>192.98</v>
      </c>
      <c r="H128" s="19">
        <f>G128*1.2423</f>
        <v>239.73905399999998</v>
      </c>
      <c r="I128" s="18">
        <f>H128*F128</f>
        <v>190614.12444486</v>
      </c>
    </row>
    <row r="129" spans="1:9" ht="25.5">
      <c r="A129" s="14" t="s">
        <v>373</v>
      </c>
      <c r="B129" s="28" t="s">
        <v>374</v>
      </c>
      <c r="C129" s="14" t="s">
        <v>18</v>
      </c>
      <c r="D129" s="15" t="s">
        <v>375</v>
      </c>
      <c r="E129" s="16" t="s">
        <v>20</v>
      </c>
      <c r="F129" s="17">
        <v>457.12</v>
      </c>
      <c r="G129" s="18">
        <f>86.17/1.23</f>
        <v>70.056910569105696</v>
      </c>
      <c r="H129" s="19">
        <f>G129*1.2423</f>
        <v>87.031700000000001</v>
      </c>
      <c r="I129" s="18">
        <f>H129*F129</f>
        <v>39783.930703999999</v>
      </c>
    </row>
    <row r="130" spans="1:9">
      <c r="A130" s="14" t="s">
        <v>376</v>
      </c>
      <c r="B130" s="28" t="s">
        <v>377</v>
      </c>
      <c r="C130" s="14" t="s">
        <v>18</v>
      </c>
      <c r="D130" s="15" t="s">
        <v>378</v>
      </c>
      <c r="E130" s="16" t="s">
        <v>20</v>
      </c>
      <c r="F130" s="17">
        <v>823.02</v>
      </c>
      <c r="G130" s="18">
        <f>76.66/1.23</f>
        <v>62.325203252032516</v>
      </c>
      <c r="H130" s="19">
        <f>G130*1.2423</f>
        <v>77.426599999999993</v>
      </c>
      <c r="I130" s="18">
        <f>H130*F130</f>
        <v>63723.640331999995</v>
      </c>
    </row>
    <row r="131" spans="1:9">
      <c r="A131" s="14" t="s">
        <v>379</v>
      </c>
      <c r="B131" s="28" t="s">
        <v>380</v>
      </c>
      <c r="C131" s="14" t="s">
        <v>18</v>
      </c>
      <c r="D131" s="15" t="s">
        <v>381</v>
      </c>
      <c r="E131" s="16" t="s">
        <v>20</v>
      </c>
      <c r="F131" s="17">
        <v>498.7</v>
      </c>
      <c r="G131" s="18">
        <f>36/1.23</f>
        <v>29.26829268292683</v>
      </c>
      <c r="H131" s="19">
        <f>G131*1.2423</f>
        <v>36.36</v>
      </c>
      <c r="I131" s="18">
        <f>H131*F131</f>
        <v>18132.732</v>
      </c>
    </row>
    <row r="132" spans="1:9">
      <c r="A132" s="14" t="s">
        <v>382</v>
      </c>
      <c r="B132" s="28" t="s">
        <v>383</v>
      </c>
      <c r="C132" s="14" t="s">
        <v>18</v>
      </c>
      <c r="D132" s="15" t="s">
        <v>384</v>
      </c>
      <c r="E132" s="16" t="s">
        <v>20</v>
      </c>
      <c r="F132" s="17">
        <v>8948.6</v>
      </c>
      <c r="G132" s="18">
        <f>45.08/1.23</f>
        <v>36.650406504065039</v>
      </c>
      <c r="H132" s="19">
        <f>G132*1.2423</f>
        <v>45.530799999999999</v>
      </c>
      <c r="I132" s="18">
        <f>H132*F132</f>
        <v>407436.91688000003</v>
      </c>
    </row>
    <row r="133" spans="1:9">
      <c r="A133" s="14" t="s">
        <v>385</v>
      </c>
      <c r="B133" s="28" t="s">
        <v>386</v>
      </c>
      <c r="C133" s="14" t="s">
        <v>18</v>
      </c>
      <c r="D133" s="15" t="s">
        <v>387</v>
      </c>
      <c r="E133" s="16" t="s">
        <v>20</v>
      </c>
      <c r="F133" s="17">
        <v>859.6</v>
      </c>
      <c r="G133" s="18">
        <f>27.42/1.23</f>
        <v>22.292682926829269</v>
      </c>
      <c r="H133" s="19">
        <f>G133*1.2423</f>
        <v>27.694199999999999</v>
      </c>
      <c r="I133" s="18">
        <f>H133*F133</f>
        <v>23805.93432</v>
      </c>
    </row>
    <row r="134" spans="1:9" ht="25.5">
      <c r="A134" s="14" t="s">
        <v>388</v>
      </c>
      <c r="B134" s="28" t="s">
        <v>389</v>
      </c>
      <c r="C134" s="14" t="s">
        <v>18</v>
      </c>
      <c r="D134" s="15" t="s">
        <v>390</v>
      </c>
      <c r="E134" s="16" t="s">
        <v>20</v>
      </c>
      <c r="F134" s="17">
        <v>616.4</v>
      </c>
      <c r="G134" s="18">
        <f>61.71/1.23</f>
        <v>50.170731707317074</v>
      </c>
      <c r="H134" s="19">
        <f>G134*1.2423</f>
        <v>62.327100000000002</v>
      </c>
      <c r="I134" s="18">
        <f>H134*F134</f>
        <v>38418.424440000003</v>
      </c>
    </row>
    <row r="135" spans="1:9" s="26" customFormat="1" ht="25.5">
      <c r="A135" s="29" t="s">
        <v>391</v>
      </c>
      <c r="B135" s="30">
        <v>102494</v>
      </c>
      <c r="C135" s="14" t="s">
        <v>23</v>
      </c>
      <c r="D135" s="15" t="s">
        <v>513</v>
      </c>
      <c r="E135" s="16" t="s">
        <v>20</v>
      </c>
      <c r="F135" s="17">
        <v>1684.56</v>
      </c>
      <c r="G135" s="18">
        <v>52.09</v>
      </c>
      <c r="H135" s="18">
        <f>G135*1.2423</f>
        <v>64.711407000000008</v>
      </c>
      <c r="I135" s="18">
        <f>H135*F135</f>
        <v>109010.24777592001</v>
      </c>
    </row>
    <row r="136" spans="1:9" s="26" customFormat="1" ht="25.5">
      <c r="A136" s="29" t="s">
        <v>528</v>
      </c>
      <c r="B136" s="30" t="s">
        <v>532</v>
      </c>
      <c r="C136" s="14" t="s">
        <v>18</v>
      </c>
      <c r="D136" s="15" t="s">
        <v>533</v>
      </c>
      <c r="E136" s="16" t="s">
        <v>20</v>
      </c>
      <c r="F136" s="17">
        <v>167.22</v>
      </c>
      <c r="G136" s="18">
        <v>130.1</v>
      </c>
      <c r="H136" s="18">
        <f>G136*1.2423</f>
        <v>161.62322999999998</v>
      </c>
      <c r="I136" s="18">
        <f>H136*F136</f>
        <v>27026.636520599997</v>
      </c>
    </row>
    <row r="137" spans="1:9" s="26" customFormat="1" ht="38.25">
      <c r="A137" s="29" t="s">
        <v>529</v>
      </c>
      <c r="B137" s="30" t="s">
        <v>534</v>
      </c>
      <c r="C137" s="14" t="s">
        <v>18</v>
      </c>
      <c r="D137" s="15" t="s">
        <v>535</v>
      </c>
      <c r="E137" s="16" t="s">
        <v>20</v>
      </c>
      <c r="F137" s="17">
        <v>339.36</v>
      </c>
      <c r="G137" s="18">
        <v>206.24</v>
      </c>
      <c r="H137" s="18">
        <f>G137*1.2423</f>
        <v>256.211952</v>
      </c>
      <c r="I137" s="18">
        <f>H137*F137</f>
        <v>86948.088030719999</v>
      </c>
    </row>
    <row r="138" spans="1:9">
      <c r="A138" s="24" t="s">
        <v>392</v>
      </c>
      <c r="B138" s="10"/>
      <c r="C138" s="10"/>
      <c r="D138" s="11" t="s">
        <v>393</v>
      </c>
      <c r="E138" s="10"/>
      <c r="F138" s="21"/>
      <c r="G138" s="22"/>
      <c r="H138" s="22"/>
      <c r="I138" s="23">
        <f>SUM(I139:I141)</f>
        <v>8057.5850700000001</v>
      </c>
    </row>
    <row r="139" spans="1:9">
      <c r="A139" s="14" t="s">
        <v>394</v>
      </c>
      <c r="B139" s="28" t="s">
        <v>395</v>
      </c>
      <c r="C139" s="14" t="s">
        <v>537</v>
      </c>
      <c r="D139" s="15" t="s">
        <v>396</v>
      </c>
      <c r="E139" s="16" t="s">
        <v>29</v>
      </c>
      <c r="F139" s="17">
        <v>23</v>
      </c>
      <c r="G139" s="18">
        <v>12.3</v>
      </c>
      <c r="H139" s="19">
        <f>G139*1.2423</f>
        <v>15.280290000000001</v>
      </c>
      <c r="I139" s="18">
        <f>H139*F139</f>
        <v>351.44667000000004</v>
      </c>
    </row>
    <row r="140" spans="1:9" ht="25.5">
      <c r="A140" s="14" t="s">
        <v>397</v>
      </c>
      <c r="B140" s="28" t="s">
        <v>398</v>
      </c>
      <c r="C140" s="14" t="s">
        <v>18</v>
      </c>
      <c r="D140" s="15" t="s">
        <v>399</v>
      </c>
      <c r="E140" s="16" t="s">
        <v>51</v>
      </c>
      <c r="F140" s="17">
        <v>4</v>
      </c>
      <c r="G140" s="18">
        <f>1859.04/1.23</f>
        <v>1511.4146341463415</v>
      </c>
      <c r="H140" s="19">
        <f>G140*1.2423</f>
        <v>1877.6304</v>
      </c>
      <c r="I140" s="18">
        <f>H140*F140</f>
        <v>7510.5216</v>
      </c>
    </row>
    <row r="141" spans="1:9">
      <c r="A141" s="14" t="s">
        <v>400</v>
      </c>
      <c r="B141" s="28" t="s">
        <v>401</v>
      </c>
      <c r="C141" s="14" t="s">
        <v>18</v>
      </c>
      <c r="D141" s="15" t="s">
        <v>402</v>
      </c>
      <c r="E141" s="16" t="s">
        <v>154</v>
      </c>
      <c r="F141" s="17">
        <v>12</v>
      </c>
      <c r="G141" s="18">
        <f>16.14/1.23</f>
        <v>13.121951219512196</v>
      </c>
      <c r="H141" s="19">
        <f>G141*1.2423</f>
        <v>16.301400000000001</v>
      </c>
      <c r="I141" s="18">
        <f>H141*F141</f>
        <v>195.61680000000001</v>
      </c>
    </row>
    <row r="142" spans="1:9">
      <c r="A142" s="24" t="s">
        <v>403</v>
      </c>
      <c r="B142" s="10"/>
      <c r="C142" s="10"/>
      <c r="D142" s="11" t="s">
        <v>404</v>
      </c>
      <c r="E142" s="10"/>
      <c r="F142" s="21"/>
      <c r="G142" s="22"/>
      <c r="H142" s="22"/>
      <c r="I142" s="23">
        <f>SUM(I143:I172)</f>
        <v>37728.20475574</v>
      </c>
    </row>
    <row r="143" spans="1:9">
      <c r="A143" s="14" t="s">
        <v>405</v>
      </c>
      <c r="B143" s="28" t="s">
        <v>87</v>
      </c>
      <c r="C143" s="14" t="s">
        <v>18</v>
      </c>
      <c r="D143" s="15" t="s">
        <v>88</v>
      </c>
      <c r="E143" s="31" t="s">
        <v>51</v>
      </c>
      <c r="F143" s="17">
        <v>2</v>
      </c>
      <c r="G143" s="18">
        <v>12.53</v>
      </c>
      <c r="H143" s="19">
        <f>G143*1.2423</f>
        <v>15.566018999999999</v>
      </c>
      <c r="I143" s="18">
        <f>H143*F143</f>
        <v>31.132037999999998</v>
      </c>
    </row>
    <row r="144" spans="1:9" s="26" customFormat="1">
      <c r="A144" s="14" t="s">
        <v>406</v>
      </c>
      <c r="B144" s="28" t="s">
        <v>407</v>
      </c>
      <c r="C144" s="14" t="s">
        <v>18</v>
      </c>
      <c r="D144" s="15" t="s">
        <v>408</v>
      </c>
      <c r="E144" s="31" t="s">
        <v>51</v>
      </c>
      <c r="F144" s="17">
        <v>2</v>
      </c>
      <c r="G144" s="18">
        <v>55.19</v>
      </c>
      <c r="H144" s="19">
        <f>G144*1.2423</f>
        <v>68.562536999999992</v>
      </c>
      <c r="I144" s="18">
        <f>H144*F144</f>
        <v>137.12507399999998</v>
      </c>
    </row>
    <row r="145" spans="1:9" s="26" customFormat="1" ht="25.5">
      <c r="A145" s="14" t="s">
        <v>409</v>
      </c>
      <c r="B145" s="28" t="s">
        <v>30</v>
      </c>
      <c r="C145" s="14" t="s">
        <v>18</v>
      </c>
      <c r="D145" s="15" t="s">
        <v>31</v>
      </c>
      <c r="E145" s="31" t="s">
        <v>32</v>
      </c>
      <c r="F145" s="17">
        <v>1.88</v>
      </c>
      <c r="G145" s="18">
        <v>95.58</v>
      </c>
      <c r="H145" s="19">
        <f>G145*1.2423</f>
        <v>118.73903399999999</v>
      </c>
      <c r="I145" s="18">
        <f>H145*F145</f>
        <v>223.22938391999998</v>
      </c>
    </row>
    <row r="146" spans="1:9" s="26" customFormat="1">
      <c r="A146" s="14" t="s">
        <v>410</v>
      </c>
      <c r="B146" s="28" t="s">
        <v>411</v>
      </c>
      <c r="C146" s="14" t="s">
        <v>18</v>
      </c>
      <c r="D146" s="15" t="s">
        <v>412</v>
      </c>
      <c r="E146" s="31" t="s">
        <v>51</v>
      </c>
      <c r="F146" s="17">
        <v>2</v>
      </c>
      <c r="G146" s="18">
        <f>50.15/1.23</f>
        <v>40.772357723577237</v>
      </c>
      <c r="H146" s="19">
        <f>G146*1.2423</f>
        <v>50.651499999999999</v>
      </c>
      <c r="I146" s="18">
        <f>H146*F146</f>
        <v>101.303</v>
      </c>
    </row>
    <row r="147" spans="1:9" s="26" customFormat="1" ht="63.75">
      <c r="A147" s="14" t="s">
        <v>413</v>
      </c>
      <c r="B147" s="28" t="s">
        <v>414</v>
      </c>
      <c r="C147" s="14" t="s">
        <v>23</v>
      </c>
      <c r="D147" s="15" t="s">
        <v>415</v>
      </c>
      <c r="E147" s="31" t="s">
        <v>20</v>
      </c>
      <c r="F147" s="17">
        <v>20.37</v>
      </c>
      <c r="G147" s="18">
        <v>133.97</v>
      </c>
      <c r="H147" s="19">
        <f>G147*1.2423</f>
        <v>166.43093099999999</v>
      </c>
      <c r="I147" s="18">
        <f>H147*F147</f>
        <v>3390.1980644699997</v>
      </c>
    </row>
    <row r="148" spans="1:9" s="26" customFormat="1" ht="51">
      <c r="A148" s="14" t="s">
        <v>416</v>
      </c>
      <c r="B148" s="28" t="s">
        <v>417</v>
      </c>
      <c r="C148" s="14" t="s">
        <v>23</v>
      </c>
      <c r="D148" s="15" t="s">
        <v>418</v>
      </c>
      <c r="E148" s="31" t="s">
        <v>20</v>
      </c>
      <c r="F148" s="17">
        <v>20.37</v>
      </c>
      <c r="G148" s="18">
        <v>8.85</v>
      </c>
      <c r="H148" s="19">
        <f>G148*1.2423</f>
        <v>10.994354999999999</v>
      </c>
      <c r="I148" s="18">
        <f>H148*F148</f>
        <v>223.95501134999998</v>
      </c>
    </row>
    <row r="149" spans="1:9" s="26" customFormat="1">
      <c r="A149" s="14" t="s">
        <v>419</v>
      </c>
      <c r="B149" s="28" t="s">
        <v>39</v>
      </c>
      <c r="C149" s="14" t="s">
        <v>18</v>
      </c>
      <c r="D149" s="15" t="s">
        <v>40</v>
      </c>
      <c r="E149" s="31" t="s">
        <v>20</v>
      </c>
      <c r="F149" s="17">
        <v>20.37</v>
      </c>
      <c r="G149" s="18">
        <f>37.09/1.23</f>
        <v>30.154471544715449</v>
      </c>
      <c r="H149" s="19">
        <f>G149*1.2423</f>
        <v>37.460900000000002</v>
      </c>
      <c r="I149" s="18">
        <f>H149*F149</f>
        <v>763.07853300000011</v>
      </c>
    </row>
    <row r="150" spans="1:9" s="26" customFormat="1">
      <c r="A150" s="14" t="s">
        <v>420</v>
      </c>
      <c r="B150" s="28" t="s">
        <v>41</v>
      </c>
      <c r="C150" s="14" t="s">
        <v>18</v>
      </c>
      <c r="D150" s="15" t="s">
        <v>42</v>
      </c>
      <c r="E150" s="31" t="s">
        <v>20</v>
      </c>
      <c r="F150" s="17">
        <v>20.37</v>
      </c>
      <c r="G150" s="18">
        <f>27.44/1.23</f>
        <v>22.308943089430894</v>
      </c>
      <c r="H150" s="19">
        <f>G150*1.2423</f>
        <v>27.714399999999998</v>
      </c>
      <c r="I150" s="18">
        <f>H150*F150</f>
        <v>564.542328</v>
      </c>
    </row>
    <row r="151" spans="1:9" s="26" customFormat="1">
      <c r="A151" s="14" t="s">
        <v>421</v>
      </c>
      <c r="B151" s="28" t="s">
        <v>422</v>
      </c>
      <c r="C151" s="14" t="s">
        <v>18</v>
      </c>
      <c r="D151" s="15" t="s">
        <v>423</v>
      </c>
      <c r="E151" s="31" t="s">
        <v>58</v>
      </c>
      <c r="F151" s="17">
        <v>116.4</v>
      </c>
      <c r="G151" s="18">
        <f>5.21/1.23</f>
        <v>4.2357723577235769</v>
      </c>
      <c r="H151" s="19">
        <f>G151*1.2423</f>
        <v>5.2620999999999993</v>
      </c>
      <c r="I151" s="18">
        <f>H151*F151</f>
        <v>612.50843999999995</v>
      </c>
    </row>
    <row r="152" spans="1:9">
      <c r="A152" s="14" t="s">
        <v>424</v>
      </c>
      <c r="B152" s="28" t="s">
        <v>425</v>
      </c>
      <c r="C152" s="14" t="s">
        <v>18</v>
      </c>
      <c r="D152" s="15" t="s">
        <v>426</v>
      </c>
      <c r="E152" s="31" t="s">
        <v>58</v>
      </c>
      <c r="F152" s="17">
        <v>9.6</v>
      </c>
      <c r="G152" s="18">
        <f>10.3/1.23</f>
        <v>8.3739837398373993</v>
      </c>
      <c r="H152" s="19">
        <f>G152*1.2423</f>
        <v>10.403</v>
      </c>
      <c r="I152" s="18">
        <f>H152*F152</f>
        <v>99.868800000000007</v>
      </c>
    </row>
    <row r="153" spans="1:9">
      <c r="A153" s="14" t="s">
        <v>427</v>
      </c>
      <c r="B153" s="28" t="s">
        <v>428</v>
      </c>
      <c r="C153" s="14" t="s">
        <v>18</v>
      </c>
      <c r="D153" s="15" t="s">
        <v>429</v>
      </c>
      <c r="E153" s="31" t="s">
        <v>51</v>
      </c>
      <c r="F153" s="17">
        <v>9</v>
      </c>
      <c r="G153" s="18">
        <f>45.03/1.23</f>
        <v>36.609756097560975</v>
      </c>
      <c r="H153" s="19">
        <f>G153*1.2423</f>
        <v>45.4803</v>
      </c>
      <c r="I153" s="18">
        <f>H153*F153</f>
        <v>409.3227</v>
      </c>
    </row>
    <row r="154" spans="1:9">
      <c r="A154" s="14" t="s">
        <v>430</v>
      </c>
      <c r="B154" s="28" t="s">
        <v>431</v>
      </c>
      <c r="C154" s="14" t="s">
        <v>18</v>
      </c>
      <c r="D154" s="15" t="s">
        <v>432</v>
      </c>
      <c r="E154" s="31" t="s">
        <v>58</v>
      </c>
      <c r="F154" s="17">
        <v>38.799999999999997</v>
      </c>
      <c r="G154" s="18">
        <f>31.39/1.23</f>
        <v>25.520325203252032</v>
      </c>
      <c r="H154" s="19">
        <f>G154*1.2423</f>
        <v>31.703899999999997</v>
      </c>
      <c r="I154" s="18">
        <f>H154*F154</f>
        <v>1230.1113199999998</v>
      </c>
    </row>
    <row r="155" spans="1:9" ht="25.5">
      <c r="A155" s="14" t="s">
        <v>433</v>
      </c>
      <c r="B155" s="28" t="s">
        <v>434</v>
      </c>
      <c r="C155" s="14" t="s">
        <v>18</v>
      </c>
      <c r="D155" s="15" t="s">
        <v>435</v>
      </c>
      <c r="E155" s="31" t="s">
        <v>51</v>
      </c>
      <c r="F155" s="17">
        <v>3</v>
      </c>
      <c r="G155" s="18">
        <f>311.74/1.23</f>
        <v>253.44715447154474</v>
      </c>
      <c r="H155" s="19">
        <f>G155*1.2423</f>
        <v>314.85740000000004</v>
      </c>
      <c r="I155" s="18">
        <f>H155*F155</f>
        <v>944.57220000000007</v>
      </c>
    </row>
    <row r="156" spans="1:9" ht="25.5">
      <c r="A156" s="14" t="s">
        <v>436</v>
      </c>
      <c r="B156" s="28" t="s">
        <v>437</v>
      </c>
      <c r="C156" s="14" t="s">
        <v>18</v>
      </c>
      <c r="D156" s="15" t="s">
        <v>438</v>
      </c>
      <c r="E156" s="31" t="s">
        <v>51</v>
      </c>
      <c r="F156" s="17">
        <v>6</v>
      </c>
      <c r="G156" s="18">
        <f>257.3/1.23</f>
        <v>209.1869918699187</v>
      </c>
      <c r="H156" s="19">
        <f>G156*1.2423</f>
        <v>259.87299999999999</v>
      </c>
      <c r="I156" s="18">
        <f>H156*F156</f>
        <v>1559.2379999999998</v>
      </c>
    </row>
    <row r="157" spans="1:9" ht="25.5">
      <c r="A157" s="14" t="s">
        <v>439</v>
      </c>
      <c r="B157" s="28" t="s">
        <v>440</v>
      </c>
      <c r="C157" s="14" t="s">
        <v>18</v>
      </c>
      <c r="D157" s="15" t="s">
        <v>441</v>
      </c>
      <c r="E157" s="31" t="s">
        <v>51</v>
      </c>
      <c r="F157" s="17">
        <v>4</v>
      </c>
      <c r="G157" s="18">
        <f>411.53/1.23</f>
        <v>334.57723577235771</v>
      </c>
      <c r="H157" s="19">
        <f>G157*1.2423</f>
        <v>415.64529999999996</v>
      </c>
      <c r="I157" s="18">
        <f>H157*F157</f>
        <v>1662.5811999999999</v>
      </c>
    </row>
    <row r="158" spans="1:9">
      <c r="A158" s="14" t="s">
        <v>442</v>
      </c>
      <c r="B158" s="28" t="s">
        <v>443</v>
      </c>
      <c r="C158" s="14" t="s">
        <v>18</v>
      </c>
      <c r="D158" s="15" t="s">
        <v>444</v>
      </c>
      <c r="E158" s="31" t="s">
        <v>51</v>
      </c>
      <c r="F158" s="17">
        <v>21</v>
      </c>
      <c r="G158" s="18">
        <f>15.27/1.23</f>
        <v>12.414634146341463</v>
      </c>
      <c r="H158" s="19">
        <f>G158*1.2423</f>
        <v>15.422699999999999</v>
      </c>
      <c r="I158" s="18">
        <f>H158*F158</f>
        <v>323.87669999999997</v>
      </c>
    </row>
    <row r="159" spans="1:9" ht="25.5">
      <c r="A159" s="14" t="s">
        <v>445</v>
      </c>
      <c r="B159" s="28" t="s">
        <v>446</v>
      </c>
      <c r="C159" s="14" t="s">
        <v>18</v>
      </c>
      <c r="D159" s="15" t="s">
        <v>447</v>
      </c>
      <c r="E159" s="31" t="s">
        <v>51</v>
      </c>
      <c r="F159" s="17">
        <v>1</v>
      </c>
      <c r="G159" s="18">
        <f>158.93/1.23</f>
        <v>129.21138211382114</v>
      </c>
      <c r="H159" s="19">
        <f>G159*1.2423</f>
        <v>160.51930000000002</v>
      </c>
      <c r="I159" s="18">
        <f>H159*F159</f>
        <v>160.51930000000002</v>
      </c>
    </row>
    <row r="160" spans="1:9">
      <c r="A160" s="14" t="s">
        <v>448</v>
      </c>
      <c r="B160" s="28" t="s">
        <v>449</v>
      </c>
      <c r="C160" s="14" t="s">
        <v>18</v>
      </c>
      <c r="D160" s="15" t="s">
        <v>450</v>
      </c>
      <c r="E160" s="31" t="s">
        <v>51</v>
      </c>
      <c r="F160" s="17">
        <v>1</v>
      </c>
      <c r="G160" s="18">
        <f>191.39/1.23</f>
        <v>155.60162601626016</v>
      </c>
      <c r="H160" s="19">
        <f>G160*1.2423</f>
        <v>193.3039</v>
      </c>
      <c r="I160" s="18">
        <f>H160*F160</f>
        <v>193.3039</v>
      </c>
    </row>
    <row r="161" spans="1:9">
      <c r="A161" s="14" t="s">
        <v>451</v>
      </c>
      <c r="B161" s="28" t="s">
        <v>452</v>
      </c>
      <c r="C161" s="14" t="s">
        <v>18</v>
      </c>
      <c r="D161" s="15" t="s">
        <v>453</v>
      </c>
      <c r="E161" s="31" t="s">
        <v>51</v>
      </c>
      <c r="F161" s="17">
        <v>3</v>
      </c>
      <c r="G161" s="18">
        <f>82.49/1.23</f>
        <v>67.065040650406502</v>
      </c>
      <c r="H161" s="19">
        <f>G161*1.2423</f>
        <v>83.314899999999994</v>
      </c>
      <c r="I161" s="18">
        <f>H161*F161</f>
        <v>249.94469999999998</v>
      </c>
    </row>
    <row r="162" spans="1:9">
      <c r="A162" s="14" t="s">
        <v>454</v>
      </c>
      <c r="B162" s="28" t="s">
        <v>455</v>
      </c>
      <c r="C162" s="14" t="s">
        <v>18</v>
      </c>
      <c r="D162" s="15" t="s">
        <v>456</v>
      </c>
      <c r="E162" s="31" t="s">
        <v>58</v>
      </c>
      <c r="F162" s="17">
        <v>3.56</v>
      </c>
      <c r="G162" s="18">
        <f>27.27/1.23</f>
        <v>22.170731707317074</v>
      </c>
      <c r="H162" s="19">
        <f>G162*1.2423</f>
        <v>27.5427</v>
      </c>
      <c r="I162" s="18">
        <f>H162*F162</f>
        <v>98.052012000000005</v>
      </c>
    </row>
    <row r="163" spans="1:9" ht="25.5">
      <c r="A163" s="14" t="s">
        <v>457</v>
      </c>
      <c r="B163" s="28" t="s">
        <v>458</v>
      </c>
      <c r="C163" s="14" t="s">
        <v>18</v>
      </c>
      <c r="D163" s="15" t="s">
        <v>459</v>
      </c>
      <c r="E163" s="31" t="s">
        <v>58</v>
      </c>
      <c r="F163" s="17">
        <v>1.5</v>
      </c>
      <c r="G163" s="18">
        <f>50.65/1.23</f>
        <v>41.178861788617887</v>
      </c>
      <c r="H163" s="19">
        <f>G163*1.2423</f>
        <v>51.156500000000001</v>
      </c>
      <c r="I163" s="18">
        <f>H163*F163</f>
        <v>76.734750000000005</v>
      </c>
    </row>
    <row r="164" spans="1:9" ht="25.5">
      <c r="A164" s="14" t="s">
        <v>460</v>
      </c>
      <c r="B164" s="30" t="s">
        <v>461</v>
      </c>
      <c r="C164" s="14" t="s">
        <v>23</v>
      </c>
      <c r="D164" s="15" t="s">
        <v>462</v>
      </c>
      <c r="E164" s="31" t="s">
        <v>51</v>
      </c>
      <c r="F164" s="17">
        <v>2</v>
      </c>
      <c r="G164" s="18">
        <v>12.69</v>
      </c>
      <c r="H164" s="18">
        <f>G164*1.2423</f>
        <v>15.764786999999998</v>
      </c>
      <c r="I164" s="18">
        <f>H164*F164</f>
        <v>31.529573999999997</v>
      </c>
    </row>
    <row r="165" spans="1:9" ht="25.5">
      <c r="A165" s="14" t="s">
        <v>463</v>
      </c>
      <c r="B165" s="28" t="s">
        <v>464</v>
      </c>
      <c r="C165" s="14" t="s">
        <v>18</v>
      </c>
      <c r="D165" s="15" t="s">
        <v>465</v>
      </c>
      <c r="E165" s="31" t="s">
        <v>51</v>
      </c>
      <c r="F165" s="17">
        <v>1</v>
      </c>
      <c r="G165" s="18">
        <f>974.42/1.23</f>
        <v>792.21138211382106</v>
      </c>
      <c r="H165" s="19">
        <f>G165*1.2423</f>
        <v>984.16419999999982</v>
      </c>
      <c r="I165" s="18">
        <f>H165*F165</f>
        <v>984.16419999999982</v>
      </c>
    </row>
    <row r="166" spans="1:9">
      <c r="A166" s="14" t="s">
        <v>466</v>
      </c>
      <c r="B166" s="28" t="s">
        <v>467</v>
      </c>
      <c r="C166" s="14" t="s">
        <v>18</v>
      </c>
      <c r="D166" s="15" t="s">
        <v>468</v>
      </c>
      <c r="E166" s="31" t="s">
        <v>51</v>
      </c>
      <c r="F166" s="17">
        <v>1</v>
      </c>
      <c r="G166" s="18">
        <f>700.55/1.23</f>
        <v>569.55284552845524</v>
      </c>
      <c r="H166" s="19">
        <f>G166*1.2423</f>
        <v>707.55549999999994</v>
      </c>
      <c r="I166" s="18">
        <f>H166*F166</f>
        <v>707.55549999999994</v>
      </c>
    </row>
    <row r="167" spans="1:9" ht="25.5">
      <c r="A167" s="14" t="s">
        <v>469</v>
      </c>
      <c r="B167" s="28" t="s">
        <v>374</v>
      </c>
      <c r="C167" s="14" t="s">
        <v>18</v>
      </c>
      <c r="D167" s="15" t="s">
        <v>375</v>
      </c>
      <c r="E167" s="31" t="s">
        <v>20</v>
      </c>
      <c r="F167" s="17">
        <v>56.59</v>
      </c>
      <c r="G167" s="18">
        <f>86.17/1.23</f>
        <v>70.056910569105696</v>
      </c>
      <c r="H167" s="19">
        <f>G167*1.2423</f>
        <v>87.031700000000001</v>
      </c>
      <c r="I167" s="18">
        <f>H167*F167</f>
        <v>4925.1239030000006</v>
      </c>
    </row>
    <row r="168" spans="1:9">
      <c r="A168" s="14" t="s">
        <v>470</v>
      </c>
      <c r="B168" s="28" t="s">
        <v>471</v>
      </c>
      <c r="C168" s="14" t="s">
        <v>18</v>
      </c>
      <c r="D168" s="15" t="s">
        <v>472</v>
      </c>
      <c r="E168" s="31" t="s">
        <v>20</v>
      </c>
      <c r="F168" s="17">
        <v>81.93</v>
      </c>
      <c r="G168" s="18">
        <f>102.08/1.23</f>
        <v>82.99186991869918</v>
      </c>
      <c r="H168" s="19">
        <f>G168*1.2423</f>
        <v>103.10079999999999</v>
      </c>
      <c r="I168" s="18">
        <f>H168*F168</f>
        <v>8447.0485439999993</v>
      </c>
    </row>
    <row r="169" spans="1:9">
      <c r="A169" s="14" t="s">
        <v>473</v>
      </c>
      <c r="B169" s="28" t="s">
        <v>383</v>
      </c>
      <c r="C169" s="14" t="s">
        <v>18</v>
      </c>
      <c r="D169" s="15" t="s">
        <v>384</v>
      </c>
      <c r="E169" s="31" t="s">
        <v>20</v>
      </c>
      <c r="F169" s="17">
        <v>132.29</v>
      </c>
      <c r="G169" s="18">
        <f>45.08/1.23</f>
        <v>36.650406504065039</v>
      </c>
      <c r="H169" s="19">
        <f>G169*1.2423</f>
        <v>45.530799999999999</v>
      </c>
      <c r="I169" s="18">
        <f>H169*F169</f>
        <v>6023.2695319999993</v>
      </c>
    </row>
    <row r="170" spans="1:9" ht="25.5">
      <c r="A170" s="14" t="s">
        <v>474</v>
      </c>
      <c r="B170" s="28" t="s">
        <v>475</v>
      </c>
      <c r="C170" s="14" t="s">
        <v>18</v>
      </c>
      <c r="D170" s="15" t="s">
        <v>476</v>
      </c>
      <c r="E170" s="31" t="s">
        <v>51</v>
      </c>
      <c r="F170" s="17">
        <v>1</v>
      </c>
      <c r="G170" s="18">
        <v>1201.57</v>
      </c>
      <c r="H170" s="19">
        <f>G170*1.2423</f>
        <v>1492.7104109999998</v>
      </c>
      <c r="I170" s="18">
        <f>H170*F170</f>
        <v>1492.7104109999998</v>
      </c>
    </row>
    <row r="171" spans="1:9">
      <c r="A171" s="14" t="s">
        <v>477</v>
      </c>
      <c r="B171" s="28" t="s">
        <v>478</v>
      </c>
      <c r="C171" s="14" t="s">
        <v>18</v>
      </c>
      <c r="D171" s="15" t="s">
        <v>479</v>
      </c>
      <c r="E171" s="31" t="s">
        <v>20</v>
      </c>
      <c r="F171" s="17">
        <v>56.59</v>
      </c>
      <c r="G171" s="18">
        <f>14.43/1.23</f>
        <v>11.731707317073171</v>
      </c>
      <c r="H171" s="19">
        <f>G171*1.2423</f>
        <v>14.574300000000001</v>
      </c>
      <c r="I171" s="18">
        <f>H171*F171</f>
        <v>824.75963700000011</v>
      </c>
    </row>
    <row r="172" spans="1:9">
      <c r="A172" s="14" t="s">
        <v>480</v>
      </c>
      <c r="B172" s="28" t="s">
        <v>49</v>
      </c>
      <c r="C172" s="14" t="s">
        <v>18</v>
      </c>
      <c r="D172" s="15" t="s">
        <v>50</v>
      </c>
      <c r="E172" s="31" t="s">
        <v>51</v>
      </c>
      <c r="F172" s="17">
        <v>2</v>
      </c>
      <c r="G172" s="18">
        <f>612.3/1.23</f>
        <v>497.80487804878044</v>
      </c>
      <c r="H172" s="19">
        <f>G172*1.2423</f>
        <v>618.42299999999989</v>
      </c>
      <c r="I172" s="18">
        <f>H172*F172</f>
        <v>1236.8459999999998</v>
      </c>
    </row>
    <row r="173" spans="1:9">
      <c r="A173" s="24" t="s">
        <v>481</v>
      </c>
      <c r="B173" s="10"/>
      <c r="C173" s="10"/>
      <c r="D173" s="11" t="s">
        <v>482</v>
      </c>
      <c r="E173" s="10"/>
      <c r="F173" s="21"/>
      <c r="G173" s="22"/>
      <c r="H173" s="22"/>
      <c r="I173" s="23">
        <f>SUM(I174:I180)</f>
        <v>316616.88595602999</v>
      </c>
    </row>
    <row r="174" spans="1:9" ht="25.5">
      <c r="A174" s="14" t="s">
        <v>483</v>
      </c>
      <c r="B174" s="28">
        <v>97622</v>
      </c>
      <c r="C174" s="14" t="s">
        <v>23</v>
      </c>
      <c r="D174" s="15" t="s">
        <v>536</v>
      </c>
      <c r="E174" s="31" t="s">
        <v>32</v>
      </c>
      <c r="F174" s="17">
        <v>3.36</v>
      </c>
      <c r="G174" s="18">
        <v>56.53</v>
      </c>
      <c r="H174" s="19">
        <f>G174*1.2423</f>
        <v>70.227219000000005</v>
      </c>
      <c r="I174" s="18">
        <f>H174*F174</f>
        <v>235.96345583999999</v>
      </c>
    </row>
    <row r="175" spans="1:9" ht="24" customHeight="1">
      <c r="A175" s="14" t="s">
        <v>484</v>
      </c>
      <c r="B175" s="28" t="s">
        <v>485</v>
      </c>
      <c r="C175" s="14" t="s">
        <v>537</v>
      </c>
      <c r="D175" s="15" t="s">
        <v>486</v>
      </c>
      <c r="E175" s="31" t="s">
        <v>20</v>
      </c>
      <c r="F175" s="17">
        <v>3.84</v>
      </c>
      <c r="G175" s="18">
        <v>10.75</v>
      </c>
      <c r="H175" s="19">
        <f>G175*1.2423</f>
        <v>13.354725</v>
      </c>
      <c r="I175" s="18">
        <f>H175*F175</f>
        <v>51.282143999999995</v>
      </c>
    </row>
    <row r="176" spans="1:9" ht="24" customHeight="1">
      <c r="A176" s="14" t="s">
        <v>487</v>
      </c>
      <c r="B176" s="28" t="s">
        <v>488</v>
      </c>
      <c r="C176" s="14" t="s">
        <v>18</v>
      </c>
      <c r="D176" s="15" t="s">
        <v>489</v>
      </c>
      <c r="E176" s="31" t="s">
        <v>20</v>
      </c>
      <c r="F176" s="17">
        <v>16.8</v>
      </c>
      <c r="G176" s="18">
        <f>1224.08/1.23</f>
        <v>995.18699186991864</v>
      </c>
      <c r="H176" s="19">
        <f>G176*1.2423</f>
        <v>1236.3208</v>
      </c>
      <c r="I176" s="18">
        <f>H176*F176</f>
        <v>20770.189440000002</v>
      </c>
    </row>
    <row r="177" spans="1:9" ht="25.5">
      <c r="A177" s="14" t="s">
        <v>490</v>
      </c>
      <c r="B177" s="28" t="s">
        <v>491</v>
      </c>
      <c r="C177" s="14" t="s">
        <v>537</v>
      </c>
      <c r="D177" s="15" t="s">
        <v>492</v>
      </c>
      <c r="E177" s="31" t="s">
        <v>20</v>
      </c>
      <c r="F177" s="17">
        <v>1320.18</v>
      </c>
      <c r="G177" s="18">
        <v>6.35</v>
      </c>
      <c r="H177" s="19">
        <f>G177*1.2423</f>
        <v>7.8886049999999992</v>
      </c>
      <c r="I177" s="18">
        <f>H177*F177</f>
        <v>10414.3785489</v>
      </c>
    </row>
    <row r="178" spans="1:9" ht="24" customHeight="1">
      <c r="A178" s="14" t="s">
        <v>493</v>
      </c>
      <c r="B178" s="28" t="s">
        <v>494</v>
      </c>
      <c r="C178" s="14" t="s">
        <v>537</v>
      </c>
      <c r="D178" s="15" t="s">
        <v>495</v>
      </c>
      <c r="E178" s="31" t="s">
        <v>32</v>
      </c>
      <c r="F178" s="17">
        <v>189.39</v>
      </c>
      <c r="G178" s="18">
        <v>1178.57</v>
      </c>
      <c r="H178" s="19">
        <f>G178*1.2423</f>
        <v>1464.1375109999999</v>
      </c>
      <c r="I178" s="18">
        <f>H178*F178</f>
        <v>277293.00320828997</v>
      </c>
    </row>
    <row r="179" spans="1:9" ht="24" customHeight="1">
      <c r="A179" s="14" t="s">
        <v>496</v>
      </c>
      <c r="B179" s="28" t="s">
        <v>497</v>
      </c>
      <c r="C179" s="14" t="s">
        <v>18</v>
      </c>
      <c r="D179" s="15" t="s">
        <v>498</v>
      </c>
      <c r="E179" s="31" t="s">
        <v>20</v>
      </c>
      <c r="F179" s="17">
        <v>219.31</v>
      </c>
      <c r="G179" s="18">
        <f>28.49/1.23</f>
        <v>23.162601626016258</v>
      </c>
      <c r="H179" s="19">
        <f>G179*1.2423</f>
        <v>28.774899999999995</v>
      </c>
      <c r="I179" s="18">
        <f>H179*F179</f>
        <v>6310.6233189999994</v>
      </c>
    </row>
    <row r="180" spans="1:9">
      <c r="A180" s="14" t="s">
        <v>499</v>
      </c>
      <c r="B180" s="28" t="s">
        <v>500</v>
      </c>
      <c r="C180" s="14" t="s">
        <v>537</v>
      </c>
      <c r="D180" s="15" t="s">
        <v>501</v>
      </c>
      <c r="E180" s="31" t="s">
        <v>29</v>
      </c>
      <c r="F180" s="17">
        <v>6</v>
      </c>
      <c r="G180" s="18">
        <v>206.8</v>
      </c>
      <c r="H180" s="19">
        <f>G180*1.2423</f>
        <v>256.90764000000001</v>
      </c>
      <c r="I180" s="18">
        <f>H180*F180</f>
        <v>1541.4458400000001</v>
      </c>
    </row>
    <row r="181" spans="1:9">
      <c r="A181" s="24" t="s">
        <v>502</v>
      </c>
      <c r="B181" s="10"/>
      <c r="C181" s="10"/>
      <c r="D181" s="11" t="s">
        <v>503</v>
      </c>
      <c r="E181" s="10"/>
      <c r="F181" s="21"/>
      <c r="G181" s="22"/>
      <c r="H181" s="22"/>
      <c r="I181" s="23">
        <f>SUM(I182:I185)</f>
        <v>174850.901545</v>
      </c>
    </row>
    <row r="182" spans="1:9" s="26" customFormat="1">
      <c r="A182" s="14" t="s">
        <v>504</v>
      </c>
      <c r="B182" s="28" t="s">
        <v>478</v>
      </c>
      <c r="C182" s="14" t="s">
        <v>18</v>
      </c>
      <c r="D182" s="15" t="s">
        <v>479</v>
      </c>
      <c r="E182" s="31" t="s">
        <v>20</v>
      </c>
      <c r="F182" s="17">
        <v>6934.5</v>
      </c>
      <c r="G182" s="18">
        <f>14.43/1.23</f>
        <v>11.731707317073171</v>
      </c>
      <c r="H182" s="19">
        <f>G182*1.2423</f>
        <v>14.574300000000001</v>
      </c>
      <c r="I182" s="18">
        <f>H182*F182</f>
        <v>101065.48335000001</v>
      </c>
    </row>
    <row r="183" spans="1:9" s="26" customFormat="1">
      <c r="A183" s="14" t="s">
        <v>505</v>
      </c>
      <c r="B183" s="28" t="s">
        <v>54</v>
      </c>
      <c r="C183" s="14" t="s">
        <v>18</v>
      </c>
      <c r="D183" s="15" t="s">
        <v>55</v>
      </c>
      <c r="E183" s="31" t="s">
        <v>32</v>
      </c>
      <c r="F183" s="17">
        <v>293.45</v>
      </c>
      <c r="G183" s="18">
        <f>59.75/1.23</f>
        <v>48.577235772357724</v>
      </c>
      <c r="H183" s="19">
        <f>G183*1.2423</f>
        <v>60.347499999999997</v>
      </c>
      <c r="I183" s="18">
        <f>H183*F183</f>
        <v>17708.973875</v>
      </c>
    </row>
    <row r="184" spans="1:9" s="26" customFormat="1">
      <c r="A184" s="14" t="s">
        <v>506</v>
      </c>
      <c r="B184" s="28" t="s">
        <v>49</v>
      </c>
      <c r="C184" s="14" t="s">
        <v>18</v>
      </c>
      <c r="D184" s="15" t="s">
        <v>50</v>
      </c>
      <c r="E184" s="31" t="s">
        <v>51</v>
      </c>
      <c r="F184" s="17">
        <v>74</v>
      </c>
      <c r="G184" s="18">
        <f>612.3/1.23</f>
        <v>497.80487804878044</v>
      </c>
      <c r="H184" s="19">
        <f>G184*1.2423</f>
        <v>618.42299999999989</v>
      </c>
      <c r="I184" s="18">
        <f>H184*F184</f>
        <v>45763.301999999989</v>
      </c>
    </row>
    <row r="185" spans="1:9" s="26" customFormat="1">
      <c r="A185" s="14" t="s">
        <v>507</v>
      </c>
      <c r="B185" s="28" t="s">
        <v>508</v>
      </c>
      <c r="C185" s="14" t="s">
        <v>18</v>
      </c>
      <c r="D185" s="15" t="s">
        <v>509</v>
      </c>
      <c r="E185" s="31" t="s">
        <v>20</v>
      </c>
      <c r="F185" s="17">
        <v>835.6</v>
      </c>
      <c r="G185" s="18">
        <f>12.22/1.23</f>
        <v>9.9349593495934965</v>
      </c>
      <c r="H185" s="19">
        <f>G185*1.2423</f>
        <v>12.3422</v>
      </c>
      <c r="I185" s="18">
        <f>H185*F185</f>
        <v>10313.142320000001</v>
      </c>
    </row>
    <row r="186" spans="1:9" s="26" customFormat="1">
      <c r="A186" s="25"/>
      <c r="B186" s="25"/>
      <c r="C186" s="25"/>
      <c r="D186" s="25"/>
      <c r="E186" s="25"/>
      <c r="F186" s="25"/>
      <c r="G186" s="25"/>
      <c r="H186" s="25"/>
      <c r="I186" s="25"/>
    </row>
    <row r="187" spans="1:9" s="26" customFormat="1">
      <c r="A187" s="25"/>
      <c r="B187" s="25"/>
      <c r="C187" s="25"/>
      <c r="D187" s="25"/>
      <c r="E187" s="25"/>
      <c r="F187" s="25"/>
      <c r="G187" s="25"/>
      <c r="H187" s="25"/>
      <c r="I187" s="25"/>
    </row>
    <row r="188" spans="1:9" s="26" customFormat="1">
      <c r="A188" s="25"/>
      <c r="B188" s="25"/>
      <c r="C188" s="25"/>
      <c r="D188" s="25"/>
      <c r="E188" s="25"/>
      <c r="F188" s="25"/>
      <c r="G188" s="25"/>
      <c r="H188" s="25"/>
      <c r="I188" s="25"/>
    </row>
    <row r="189" spans="1:9" s="26" customFormat="1">
      <c r="A189" s="25"/>
      <c r="B189" s="25"/>
      <c r="C189" s="25"/>
      <c r="D189" s="25"/>
      <c r="E189" s="25"/>
      <c r="F189" s="25"/>
      <c r="G189" s="25"/>
      <c r="H189" s="25"/>
      <c r="I189" s="25"/>
    </row>
    <row r="190" spans="1:9" s="26" customFormat="1">
      <c r="A190" s="25"/>
      <c r="B190" s="25"/>
      <c r="C190" s="25"/>
      <c r="D190" s="25"/>
      <c r="E190" s="25"/>
      <c r="F190" s="25"/>
      <c r="G190" s="25"/>
      <c r="H190" s="25"/>
      <c r="I190" s="25"/>
    </row>
    <row r="191" spans="1:9" s="26" customFormat="1">
      <c r="A191" s="25"/>
      <c r="B191" s="25"/>
      <c r="C191" s="25"/>
      <c r="D191" s="25"/>
      <c r="E191" s="25"/>
      <c r="F191" s="25"/>
      <c r="G191" s="25"/>
      <c r="H191" s="25"/>
      <c r="I191" s="25"/>
    </row>
    <row r="192" spans="1:9" s="26" customFormat="1">
      <c r="A192" s="25"/>
      <c r="B192" s="25"/>
      <c r="C192" s="25"/>
      <c r="D192" s="25"/>
      <c r="E192" s="25"/>
      <c r="F192" s="25"/>
      <c r="G192" s="25"/>
      <c r="H192" s="25"/>
      <c r="I192" s="25"/>
    </row>
    <row r="193" spans="1:9" s="26" customFormat="1">
      <c r="A193" s="25"/>
      <c r="B193" s="25"/>
      <c r="C193" s="25"/>
      <c r="D193" s="25"/>
      <c r="E193" s="25"/>
      <c r="F193" s="25"/>
      <c r="G193" s="25"/>
      <c r="H193" s="25"/>
      <c r="I193" s="25"/>
    </row>
    <row r="194" spans="1:9" s="26" customFormat="1">
      <c r="A194" s="25"/>
      <c r="B194" s="25"/>
      <c r="C194" s="25"/>
      <c r="D194" s="25"/>
      <c r="E194" s="25"/>
      <c r="F194" s="25"/>
      <c r="G194" s="25"/>
      <c r="H194" s="25"/>
      <c r="I194" s="25"/>
    </row>
    <row r="195" spans="1:9" s="26" customFormat="1">
      <c r="A195" s="25"/>
      <c r="B195" s="25"/>
      <c r="C195" s="25"/>
      <c r="D195" s="25"/>
      <c r="E195" s="25"/>
      <c r="F195" s="25"/>
      <c r="G195" s="25"/>
      <c r="H195" s="25"/>
      <c r="I195" s="25"/>
    </row>
    <row r="196" spans="1:9">
      <c r="A196" s="43"/>
      <c r="B196" s="43"/>
      <c r="C196" s="43"/>
      <c r="D196" s="4"/>
      <c r="E196" s="42" t="s">
        <v>510</v>
      </c>
      <c r="F196" s="43"/>
      <c r="G196" s="44">
        <f>I173+I142+I138+I125+I69+I45+I30+I22+I181+I5</f>
        <v>4756437.3308099099</v>
      </c>
      <c r="H196" s="43"/>
      <c r="I196" s="43"/>
    </row>
    <row r="197" spans="1:9">
      <c r="A197" s="43"/>
      <c r="B197" s="43"/>
      <c r="C197" s="43"/>
      <c r="D197" s="4"/>
      <c r="E197" s="42" t="s">
        <v>511</v>
      </c>
      <c r="F197" s="43"/>
      <c r="G197" s="44">
        <f>G196*0.2423</f>
        <v>1152484.7652552412</v>
      </c>
      <c r="H197" s="43"/>
      <c r="I197" s="43"/>
    </row>
    <row r="198" spans="1:9">
      <c r="A198" s="43"/>
      <c r="B198" s="43"/>
      <c r="C198" s="43"/>
      <c r="D198" s="4"/>
      <c r="E198" s="42" t="s">
        <v>512</v>
      </c>
      <c r="F198" s="43"/>
      <c r="G198" s="44">
        <f>G197+G196</f>
        <v>5908922.0960651506</v>
      </c>
      <c r="H198" s="43"/>
      <c r="I198" s="43"/>
    </row>
    <row r="199" spans="1:9" ht="60" customHeight="1">
      <c r="A199" s="3"/>
      <c r="B199" s="3"/>
      <c r="C199" s="3"/>
      <c r="D199" s="3"/>
      <c r="E199" s="3"/>
      <c r="F199" s="3"/>
      <c r="G199" s="3"/>
      <c r="H199" s="3"/>
      <c r="I199" s="51"/>
    </row>
    <row r="200" spans="1:9" ht="69.75" customHeight="1">
      <c r="A200" s="45"/>
      <c r="B200" s="46"/>
      <c r="C200" s="46"/>
      <c r="D200" s="46"/>
      <c r="E200" s="46"/>
      <c r="F200" s="46"/>
      <c r="G200" s="46"/>
      <c r="H200" s="46"/>
      <c r="I200" s="46"/>
    </row>
  </sheetData>
  <autoFilter ref="A4:I180">
    <sortState ref="A5:I185">
      <sortCondition ref="A4:A182"/>
    </sortState>
  </autoFilter>
  <mergeCells count="17">
    <mergeCell ref="A198:C198"/>
    <mergeCell ref="E198:F198"/>
    <mergeCell ref="G198:I198"/>
    <mergeCell ref="A200:I200"/>
    <mergeCell ref="A3:I3"/>
    <mergeCell ref="A196:C196"/>
    <mergeCell ref="E196:F196"/>
    <mergeCell ref="G196:I196"/>
    <mergeCell ref="A197:C197"/>
    <mergeCell ref="E197:F197"/>
    <mergeCell ref="G197:I197"/>
    <mergeCell ref="E1:F1"/>
    <mergeCell ref="G1:H1"/>
    <mergeCell ref="I1"/>
    <mergeCell ref="E2:F2"/>
    <mergeCell ref="G2:H2"/>
    <mergeCell ref="I2"/>
  </mergeCells>
  <pageMargins left="0.5" right="0.5" top="1" bottom="1" header="0.5" footer="0.5"/>
  <pageSetup paperSize="9" scale="69" fitToHeight="0" orientation="landscape" r:id="rId1"/>
  <headerFooter>
    <oddHeader>&amp;L &amp;CPREFEITURA DO MUNICÍPIO DE CARAPICUÍBA
 &amp;R</oddHeader>
    <oddFooter>&amp;L &amp;C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6:J23"/>
  <sheetViews>
    <sheetView workbookViewId="0">
      <selection activeCell="F32" sqref="F32"/>
    </sheetView>
  </sheetViews>
  <sheetFormatPr defaultRowHeight="14.25"/>
  <cols>
    <col min="2" max="3" width="10" bestFit="1" customWidth="1"/>
    <col min="4" max="4" width="13.25" bestFit="1" customWidth="1"/>
    <col min="5" max="5" width="60" bestFit="1" customWidth="1"/>
    <col min="6" max="6" width="12" bestFit="1" customWidth="1"/>
    <col min="7" max="10" width="13" bestFit="1" customWidth="1"/>
  </cols>
  <sheetData>
    <row r="6" spans="2:10" ht="15">
      <c r="B6" s="33"/>
      <c r="C6" s="34"/>
      <c r="D6" s="33"/>
      <c r="E6" s="33"/>
      <c r="F6" s="32"/>
      <c r="G6" s="34"/>
      <c r="H6" s="34"/>
      <c r="I6" s="34"/>
      <c r="J6" s="34"/>
    </row>
    <row r="19" spans="5:6" ht="30" customHeight="1">
      <c r="E19" s="49" t="s">
        <v>543</v>
      </c>
      <c r="F19" s="50"/>
    </row>
    <row r="20" spans="5:6" ht="30" customHeight="1">
      <c r="E20" s="35" t="s">
        <v>540</v>
      </c>
      <c r="F20" s="48">
        <v>1600</v>
      </c>
    </row>
    <row r="21" spans="5:6" ht="30" customHeight="1">
      <c r="E21" s="35" t="s">
        <v>541</v>
      </c>
      <c r="F21" s="48"/>
    </row>
    <row r="22" spans="5:6" ht="30" customHeight="1">
      <c r="E22" s="35" t="s">
        <v>542</v>
      </c>
      <c r="F22" s="36">
        <v>500</v>
      </c>
    </row>
    <row r="23" spans="5:6" ht="30" customHeight="1">
      <c r="E23" s="37" t="s">
        <v>544</v>
      </c>
      <c r="F23" s="38">
        <f>SUM(F20:F22)</f>
        <v>2100</v>
      </c>
    </row>
  </sheetData>
  <mergeCells count="2">
    <mergeCell ref="F20:F21"/>
    <mergeCell ref="E19:F19"/>
  </mergeCells>
  <printOptions horizontalCentered="1" verticalCentered="1"/>
  <pageMargins left="0" right="0" top="0" bottom="0" header="0" footer="0"/>
  <pageSetup paperSize="9" scale="1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 Sintético</vt:lpstr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thaisdh</cp:lastModifiedBy>
  <cp:revision>0</cp:revision>
  <cp:lastPrinted>2021-10-01T13:01:58Z</cp:lastPrinted>
  <dcterms:created xsi:type="dcterms:W3CDTF">2021-08-05T20:31:49Z</dcterms:created>
  <dcterms:modified xsi:type="dcterms:W3CDTF">2022-03-10T14:33:50Z</dcterms:modified>
</cp:coreProperties>
</file>